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BILANS\CFM - BILAN 2023\CFM - SOCIAL 2023\"/>
    </mc:Choice>
  </mc:AlternateContent>
  <xr:revisionPtr revIDLastSave="0" documentId="13_ncr:1_{979A9987-C72C-445B-BEB6-5DA2511589DB}" xr6:coauthVersionLast="47" xr6:coauthVersionMax="47" xr10:uidLastSave="{00000000-0000-0000-0000-000000000000}"/>
  <bookViews>
    <workbookView xWindow="28680" yWindow="-45" windowWidth="29040" windowHeight="15720" tabRatio="771" activeTab="2" xr2:uid="{00000000-000D-0000-FFFF-FFFF00000000}"/>
  </bookViews>
  <sheets>
    <sheet name="BASES" sheetId="10" r:id="rId1"/>
    <sheet name="CCHSCT-APPAV" sheetId="11" r:id="rId2"/>
    <sheet name="AUTRES" sheetId="9" r:id="rId3"/>
  </sheets>
  <externalReferences>
    <externalReference r:id="rId4"/>
  </externalReferences>
  <definedNames>
    <definedName name="_xlnm.Print_Titles" localSheetId="2">AUTRES!$1:$4</definedName>
    <definedName name="_xlnm.Print_Titles" localSheetId="0">BASES!$A:$B</definedName>
    <definedName name="_xlnm.Print_Titles" localSheetId="1">'CCHSCT-APPAV'!$1:$2</definedName>
    <definedName name="_xlnm.Print_Area" localSheetId="2">AUTRES!$A$1:$M$110</definedName>
    <definedName name="_xlnm.Print_Area" localSheetId="0">BASES!$A$1:$W$34</definedName>
    <definedName name="_xlnm.Print_Area" localSheetId="1">'CCHSCT-APPAV'!$A$1:$V$104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1" i="11" l="1"/>
  <c r="P62" i="11"/>
  <c r="J62" i="11"/>
  <c r="G62" i="11"/>
  <c r="M62" i="11"/>
  <c r="P52" i="11"/>
  <c r="M52" i="11"/>
  <c r="K48" i="11"/>
  <c r="N68" i="11"/>
  <c r="Q80" i="11"/>
  <c r="V78" i="11"/>
  <c r="Q78" i="11"/>
  <c r="M82" i="11"/>
  <c r="K78" i="11"/>
  <c r="K80" i="11"/>
  <c r="Q38" i="11"/>
  <c r="H106" i="9" l="1"/>
  <c r="J102" i="9"/>
  <c r="D102" i="9"/>
  <c r="B15" i="9"/>
  <c r="Q20" i="11"/>
  <c r="D54" i="9"/>
  <c r="D44" i="9"/>
  <c r="N60" i="9"/>
  <c r="N57" i="9"/>
  <c r="N40" i="9"/>
  <c r="B105" i="9"/>
  <c r="O98" i="9"/>
  <c r="O88" i="9"/>
  <c r="O78" i="9"/>
  <c r="O68" i="9"/>
  <c r="N100" i="9"/>
  <c r="N90" i="9"/>
  <c r="N80" i="9"/>
  <c r="N70" i="9"/>
  <c r="N50" i="9"/>
  <c r="B108" i="9"/>
  <c r="O58" i="9"/>
  <c r="O48" i="9"/>
  <c r="O17" i="9"/>
  <c r="O38" i="9"/>
  <c r="O28" i="9"/>
  <c r="B45" i="9"/>
  <c r="O18" i="9"/>
  <c r="B40" i="9"/>
  <c r="N30" i="9"/>
  <c r="N10" i="9"/>
  <c r="J97" i="9"/>
  <c r="H97" i="9"/>
  <c r="J87" i="9"/>
  <c r="H87" i="9"/>
  <c r="F87" i="9"/>
  <c r="D87" i="9"/>
  <c r="H77" i="9"/>
  <c r="F77" i="9"/>
  <c r="D77" i="9"/>
  <c r="J67" i="9"/>
  <c r="H67" i="9"/>
  <c r="F67" i="9"/>
  <c r="D67" i="9"/>
  <c r="J57" i="9"/>
  <c r="H57" i="9"/>
  <c r="F57" i="9"/>
  <c r="D57" i="9"/>
  <c r="J37" i="9"/>
  <c r="H37" i="9"/>
  <c r="H27" i="9"/>
  <c r="F27" i="9"/>
  <c r="D27" i="9"/>
  <c r="J17" i="9"/>
  <c r="H6" i="9"/>
  <c r="D9" i="9"/>
  <c r="B37" i="9"/>
  <c r="B80" i="9"/>
  <c r="X7" i="10"/>
  <c r="R9" i="10"/>
  <c r="D9" i="10"/>
  <c r="D21" i="10"/>
  <c r="D34" i="10" s="1"/>
  <c r="J9" i="10"/>
  <c r="L9" i="10"/>
  <c r="N9" i="10"/>
  <c r="P9" i="10"/>
  <c r="V34" i="10"/>
  <c r="T34" i="10"/>
  <c r="R34" i="10"/>
  <c r="P21" i="10"/>
  <c r="P34" i="10" s="1"/>
  <c r="N21" i="10"/>
  <c r="L21" i="10"/>
  <c r="L34" i="10"/>
  <c r="J21" i="10"/>
  <c r="J34" i="10"/>
  <c r="H34" i="10"/>
  <c r="F34" i="10"/>
  <c r="L22" i="10"/>
  <c r="I7" i="10"/>
  <c r="P12" i="11"/>
  <c r="V18" i="11"/>
  <c r="K8" i="11"/>
  <c r="H8" i="11"/>
  <c r="E8" i="11"/>
  <c r="B8" i="11"/>
  <c r="O7" i="9"/>
  <c r="N6" i="9"/>
  <c r="N7" i="9"/>
  <c r="N9" i="9"/>
  <c r="N8" i="9"/>
  <c r="B10" i="9"/>
  <c r="B20" i="9"/>
  <c r="B8" i="9"/>
  <c r="B9" i="9"/>
  <c r="B50" i="9"/>
  <c r="B47" i="9"/>
  <c r="F47" i="9" s="1"/>
  <c r="K7" i="10"/>
  <c r="H47" i="9" l="1"/>
  <c r="J47" i="9"/>
  <c r="D47" i="9"/>
  <c r="N22" i="10"/>
  <c r="N34" i="10" s="1"/>
  <c r="M14" i="10"/>
  <c r="M19" i="10"/>
  <c r="M7" i="10"/>
  <c r="B60" i="9" l="1"/>
  <c r="N24" i="10"/>
  <c r="B70" i="9"/>
  <c r="C13" i="10"/>
  <c r="C27" i="10" s="1"/>
  <c r="D33" i="10"/>
  <c r="C19" i="10"/>
  <c r="C14" i="10" s="1"/>
  <c r="C24" i="10" s="1"/>
  <c r="C15" i="10"/>
  <c r="C7" i="10"/>
  <c r="B6" i="9" s="1"/>
  <c r="C8" i="10"/>
  <c r="O7" i="10"/>
  <c r="B100" i="9"/>
  <c r="F100" i="9"/>
  <c r="G102" i="11"/>
  <c r="V98" i="11"/>
  <c r="Q100" i="11"/>
  <c r="E100" i="11"/>
  <c r="G100" i="11"/>
  <c r="E40" i="9"/>
  <c r="O40" i="9"/>
  <c r="G39" i="9"/>
  <c r="H39" i="9" s="1"/>
  <c r="E39" i="9"/>
  <c r="F39" i="9" s="1"/>
  <c r="C39" i="9"/>
  <c r="D39" i="9" s="1"/>
  <c r="E38" i="9"/>
  <c r="F38" i="9" s="1"/>
  <c r="Q40" i="11"/>
  <c r="S40" i="11" s="1"/>
  <c r="M40" i="11"/>
  <c r="M42" i="11" s="1"/>
  <c r="K40" i="11"/>
  <c r="H40" i="11"/>
  <c r="J40" i="11" s="1"/>
  <c r="J42" i="11" s="1"/>
  <c r="G40" i="11"/>
  <c r="E40" i="11"/>
  <c r="B40" i="11"/>
  <c r="D40" i="11" s="1"/>
  <c r="N38" i="11"/>
  <c r="P38" i="11" s="1"/>
  <c r="M38" i="11"/>
  <c r="J38" i="11"/>
  <c r="G38" i="11"/>
  <c r="G42" i="11" s="1"/>
  <c r="D38" i="11"/>
  <c r="I32" i="10"/>
  <c r="I30" i="10"/>
  <c r="I28" i="10"/>
  <c r="J24" i="10"/>
  <c r="J25" i="10" s="1"/>
  <c r="I24" i="10"/>
  <c r="I25" i="10" s="1"/>
  <c r="G92" i="11"/>
  <c r="B90" i="9"/>
  <c r="S28" i="10"/>
  <c r="S7" i="10"/>
  <c r="Q88" i="11" s="1"/>
  <c r="S88" i="11" s="1"/>
  <c r="Q58" i="11"/>
  <c r="S58" i="11" s="1"/>
  <c r="K60" i="11"/>
  <c r="H60" i="11"/>
  <c r="J60" i="11" s="1"/>
  <c r="E60" i="11"/>
  <c r="G60" i="11" s="1"/>
  <c r="B60" i="11"/>
  <c r="D60" i="11" s="1"/>
  <c r="N58" i="11"/>
  <c r="P58" i="11" s="1"/>
  <c r="M58" i="11"/>
  <c r="J58" i="11"/>
  <c r="G58" i="11"/>
  <c r="D58" i="11"/>
  <c r="Q48" i="11"/>
  <c r="S48" i="11" s="1"/>
  <c r="K50" i="11"/>
  <c r="M50" i="11" s="1"/>
  <c r="H50" i="11"/>
  <c r="J50" i="11" s="1"/>
  <c r="E50" i="11"/>
  <c r="G50" i="11" s="1"/>
  <c r="G52" i="11" s="1"/>
  <c r="B50" i="11"/>
  <c r="N48" i="11"/>
  <c r="P48" i="11" s="1"/>
  <c r="M48" i="11"/>
  <c r="J48" i="11"/>
  <c r="G48" i="11"/>
  <c r="D48" i="11"/>
  <c r="E50" i="9"/>
  <c r="O50" i="9"/>
  <c r="G49" i="9"/>
  <c r="H49" i="9" s="1"/>
  <c r="E49" i="9"/>
  <c r="F49" i="9" s="1"/>
  <c r="C49" i="9"/>
  <c r="D49" i="9" s="1"/>
  <c r="E48" i="9"/>
  <c r="F48" i="9" s="1"/>
  <c r="K32" i="10"/>
  <c r="K30" i="10"/>
  <c r="K28" i="10"/>
  <c r="L24" i="10"/>
  <c r="L25" i="10" s="1"/>
  <c r="K24" i="10"/>
  <c r="K25" i="10" s="1"/>
  <c r="B57" i="9"/>
  <c r="M32" i="10"/>
  <c r="M30" i="10"/>
  <c r="M28" i="10"/>
  <c r="M24" i="10"/>
  <c r="M25" i="10" s="1"/>
  <c r="B67" i="9"/>
  <c r="L71" i="9" s="1"/>
  <c r="E70" i="9"/>
  <c r="O70" i="9"/>
  <c r="G69" i="9"/>
  <c r="H69" i="9" s="1"/>
  <c r="E69" i="9"/>
  <c r="F69" i="9" s="1"/>
  <c r="C69" i="9"/>
  <c r="D69" i="9" s="1"/>
  <c r="E68" i="9"/>
  <c r="F68" i="9" s="1"/>
  <c r="B97" i="9"/>
  <c r="B77" i="9"/>
  <c r="Q68" i="11"/>
  <c r="Q70" i="11" s="1"/>
  <c r="S70" i="11" s="1"/>
  <c r="S98" i="11"/>
  <c r="S78" i="11"/>
  <c r="S18" i="11"/>
  <c r="B90" i="11"/>
  <c r="D88" i="11"/>
  <c r="H8" i="9"/>
  <c r="B17" i="9"/>
  <c r="D20" i="11"/>
  <c r="B30" i="11"/>
  <c r="M100" i="11"/>
  <c r="H100" i="11"/>
  <c r="J100" i="11" s="1"/>
  <c r="B100" i="11"/>
  <c r="D100" i="11" s="1"/>
  <c r="N98" i="11"/>
  <c r="P98" i="11" s="1"/>
  <c r="M98" i="11"/>
  <c r="J98" i="11"/>
  <c r="G98" i="11"/>
  <c r="D98" i="11"/>
  <c r="S80" i="11"/>
  <c r="M80" i="11"/>
  <c r="H80" i="11"/>
  <c r="J80" i="11" s="1"/>
  <c r="G80" i="11"/>
  <c r="B80" i="11"/>
  <c r="D80" i="11" s="1"/>
  <c r="N78" i="11"/>
  <c r="P78" i="11" s="1"/>
  <c r="M78" i="11"/>
  <c r="J78" i="11"/>
  <c r="G78" i="11"/>
  <c r="D78" i="11"/>
  <c r="K70" i="11"/>
  <c r="M70" i="11" s="1"/>
  <c r="H70" i="11"/>
  <c r="J70" i="11" s="1"/>
  <c r="E70" i="11"/>
  <c r="G70" i="11" s="1"/>
  <c r="B70" i="11"/>
  <c r="P68" i="11"/>
  <c r="M68" i="11"/>
  <c r="M72" i="11" s="1"/>
  <c r="J68" i="11"/>
  <c r="G68" i="11"/>
  <c r="D68" i="11"/>
  <c r="K90" i="11"/>
  <c r="M90" i="11" s="1"/>
  <c r="H90" i="11"/>
  <c r="J90" i="11" s="1"/>
  <c r="E90" i="11"/>
  <c r="G90" i="11" s="1"/>
  <c r="M88" i="11"/>
  <c r="J88" i="11"/>
  <c r="G88" i="11"/>
  <c r="K30" i="11"/>
  <c r="M30" i="11" s="1"/>
  <c r="H30" i="11"/>
  <c r="J30" i="11" s="1"/>
  <c r="E30" i="11"/>
  <c r="G30" i="11" s="1"/>
  <c r="M28" i="11"/>
  <c r="J28" i="11"/>
  <c r="G28" i="11"/>
  <c r="S20" i="11"/>
  <c r="M20" i="11"/>
  <c r="J20" i="11"/>
  <c r="G20" i="11"/>
  <c r="M18" i="11"/>
  <c r="J18" i="11"/>
  <c r="G18" i="11"/>
  <c r="H10" i="11"/>
  <c r="J10" i="11" s="1"/>
  <c r="E10" i="11"/>
  <c r="G10" i="11" s="1"/>
  <c r="K10" i="11"/>
  <c r="M10" i="11" s="1"/>
  <c r="J8" i="11"/>
  <c r="G8" i="11"/>
  <c r="F97" i="9" l="1"/>
  <c r="C32" i="10"/>
  <c r="F6" i="9"/>
  <c r="G22" i="11"/>
  <c r="N25" i="10"/>
  <c r="C28" i="10"/>
  <c r="L37" i="9"/>
  <c r="L45" i="9" s="1"/>
  <c r="L41" i="9"/>
  <c r="F37" i="9"/>
  <c r="J42" i="9"/>
  <c r="J45" i="9" s="1"/>
  <c r="H45" i="9"/>
  <c r="O37" i="9"/>
  <c r="D37" i="9"/>
  <c r="F40" i="9"/>
  <c r="F45" i="9" s="1"/>
  <c r="D42" i="11"/>
  <c r="J52" i="11"/>
  <c r="D62" i="11"/>
  <c r="S38" i="11"/>
  <c r="N40" i="11"/>
  <c r="P40" i="11" s="1"/>
  <c r="P42" i="11" s="1"/>
  <c r="N60" i="11"/>
  <c r="P60" i="11" s="1"/>
  <c r="N50" i="11"/>
  <c r="P50" i="11" s="1"/>
  <c r="B87" i="9"/>
  <c r="T58" i="11"/>
  <c r="M60" i="11"/>
  <c r="D82" i="11"/>
  <c r="Q60" i="11"/>
  <c r="S60" i="11" s="1"/>
  <c r="J72" i="11"/>
  <c r="J82" i="11"/>
  <c r="D102" i="11"/>
  <c r="T48" i="11"/>
  <c r="D50" i="11"/>
  <c r="D52" i="11" s="1"/>
  <c r="G72" i="11"/>
  <c r="Q50" i="11"/>
  <c r="S50" i="11" s="1"/>
  <c r="G12" i="11"/>
  <c r="G32" i="11"/>
  <c r="J92" i="11"/>
  <c r="M92" i="11"/>
  <c r="G82" i="11"/>
  <c r="J22" i="11"/>
  <c r="J32" i="11"/>
  <c r="L47" i="9"/>
  <c r="O47" i="9"/>
  <c r="J52" i="9"/>
  <c r="J55" i="9" s="1"/>
  <c r="B55" i="9"/>
  <c r="F70" i="9"/>
  <c r="D52" i="9"/>
  <c r="F50" i="9"/>
  <c r="F55" i="9"/>
  <c r="H55" i="9"/>
  <c r="L51" i="9"/>
  <c r="L55" i="9" s="1"/>
  <c r="Q8" i="11"/>
  <c r="S8" i="11" s="1"/>
  <c r="S100" i="11"/>
  <c r="B75" i="9"/>
  <c r="L67" i="9"/>
  <c r="L75" i="9" s="1"/>
  <c r="O67" i="9"/>
  <c r="H75" i="9"/>
  <c r="N70" i="11"/>
  <c r="P70" i="11" s="1"/>
  <c r="P72" i="11" s="1"/>
  <c r="M102" i="11"/>
  <c r="M22" i="11"/>
  <c r="N100" i="11"/>
  <c r="P100" i="11" s="1"/>
  <c r="D70" i="11"/>
  <c r="D72" i="11" s="1"/>
  <c r="N88" i="11"/>
  <c r="P88" i="11" s="1"/>
  <c r="T88" i="11" s="1"/>
  <c r="T78" i="11"/>
  <c r="B10" i="11"/>
  <c r="D10" i="11" s="1"/>
  <c r="J12" i="11"/>
  <c r="D18" i="11"/>
  <c r="D22" i="11" s="1"/>
  <c r="N18" i="11"/>
  <c r="P18" i="11" s="1"/>
  <c r="T18" i="11" s="1"/>
  <c r="M32" i="11"/>
  <c r="N30" i="11"/>
  <c r="P30" i="11" s="1"/>
  <c r="D30" i="11"/>
  <c r="N28" i="11"/>
  <c r="P28" i="11" s="1"/>
  <c r="D28" i="11"/>
  <c r="T98" i="11"/>
  <c r="J102" i="11"/>
  <c r="N80" i="11"/>
  <c r="P80" i="11" s="1"/>
  <c r="T80" i="11" s="1"/>
  <c r="S82" i="11"/>
  <c r="U83" i="11" s="1"/>
  <c r="S22" i="11"/>
  <c r="U23" i="11" s="1"/>
  <c r="M8" i="11"/>
  <c r="M12" i="11" s="1"/>
  <c r="Q90" i="11"/>
  <c r="S90" i="11" s="1"/>
  <c r="S92" i="11" s="1"/>
  <c r="U93" i="11" s="1"/>
  <c r="S68" i="11"/>
  <c r="N20" i="11"/>
  <c r="P20" i="11" s="1"/>
  <c r="T60" i="11" l="1"/>
  <c r="T50" i="11"/>
  <c r="T70" i="11"/>
  <c r="D42" i="9"/>
  <c r="D45" i="9" s="1"/>
  <c r="T40" i="11"/>
  <c r="D32" i="11"/>
  <c r="S42" i="11"/>
  <c r="U43" i="11" s="1"/>
  <c r="T38" i="11"/>
  <c r="S62" i="11"/>
  <c r="S52" i="11"/>
  <c r="P82" i="11"/>
  <c r="T82" i="11" s="1"/>
  <c r="P32" i="11"/>
  <c r="D55" i="9"/>
  <c r="F75" i="9"/>
  <c r="Q10" i="11"/>
  <c r="S10" i="11" s="1"/>
  <c r="S12" i="11" s="1"/>
  <c r="U13" i="11" s="1"/>
  <c r="T100" i="11"/>
  <c r="D72" i="9"/>
  <c r="J72" i="9"/>
  <c r="J75" i="9" s="1"/>
  <c r="P22" i="11"/>
  <c r="T22" i="11" s="1"/>
  <c r="N90" i="11"/>
  <c r="P90" i="11" s="1"/>
  <c r="T90" i="11" s="1"/>
  <c r="D90" i="11"/>
  <c r="D92" i="11" s="1"/>
  <c r="N8" i="11"/>
  <c r="P8" i="11" s="1"/>
  <c r="D8" i="11"/>
  <c r="D12" i="11" s="1"/>
  <c r="N10" i="11"/>
  <c r="P10" i="11" s="1"/>
  <c r="T20" i="11"/>
  <c r="S102" i="11"/>
  <c r="U103" i="11" s="1"/>
  <c r="P102" i="11"/>
  <c r="T68" i="11"/>
  <c r="S72" i="11"/>
  <c r="T42" i="11" l="1"/>
  <c r="U63" i="11"/>
  <c r="T62" i="11"/>
  <c r="U53" i="11"/>
  <c r="T52" i="11"/>
  <c r="T8" i="11"/>
  <c r="P92" i="11"/>
  <c r="T92" i="11" s="1"/>
  <c r="D74" i="9"/>
  <c r="D75" i="9" s="1"/>
  <c r="T12" i="11"/>
  <c r="T10" i="11"/>
  <c r="T102" i="11"/>
  <c r="U73" i="11"/>
  <c r="T72" i="11"/>
  <c r="G7" i="10" l="1"/>
  <c r="B30" i="9"/>
  <c r="O20" i="9"/>
  <c r="O30" i="9"/>
  <c r="O8" i="9"/>
  <c r="F60" i="9"/>
  <c r="J62" i="9"/>
  <c r="J65" i="9" s="1"/>
  <c r="O90" i="9"/>
  <c r="E60" i="9"/>
  <c r="G59" i="9"/>
  <c r="H59" i="9" s="1"/>
  <c r="H65" i="9" s="1"/>
  <c r="E59" i="9"/>
  <c r="F59" i="9" s="1"/>
  <c r="E58" i="9"/>
  <c r="F58" i="9" s="1"/>
  <c r="E100" i="9"/>
  <c r="G99" i="9"/>
  <c r="H99" i="9" s="1"/>
  <c r="E99" i="9"/>
  <c r="F99" i="9" s="1"/>
  <c r="E98" i="9"/>
  <c r="F98" i="9" s="1"/>
  <c r="E90" i="9"/>
  <c r="G89" i="9"/>
  <c r="E89" i="9"/>
  <c r="F89" i="9" s="1"/>
  <c r="C89" i="9"/>
  <c r="E88" i="9"/>
  <c r="F88" i="9" s="1"/>
  <c r="H7" i="9"/>
  <c r="E27" i="9"/>
  <c r="G27" i="9"/>
  <c r="W22" i="10"/>
  <c r="O30" i="10"/>
  <c r="U30" i="10"/>
  <c r="S30" i="10"/>
  <c r="Q30" i="10"/>
  <c r="G30" i="10"/>
  <c r="E30" i="10"/>
  <c r="C59" i="9"/>
  <c r="D59" i="9" s="1"/>
  <c r="C99" i="9"/>
  <c r="D99" i="9" s="1"/>
  <c r="E20" i="9"/>
  <c r="G19" i="9"/>
  <c r="H19" i="9" s="1"/>
  <c r="E19" i="9"/>
  <c r="F19" i="9" s="1"/>
  <c r="C19" i="9"/>
  <c r="D19" i="9" s="1"/>
  <c r="E18" i="9"/>
  <c r="F18" i="9" s="1"/>
  <c r="E9" i="9"/>
  <c r="E8" i="9"/>
  <c r="E7" i="9"/>
  <c r="E10" i="9" s="1"/>
  <c r="C30" i="10"/>
  <c r="C29" i="10"/>
  <c r="W29" i="10" s="1"/>
  <c r="B27" i="9" l="1"/>
  <c r="Q28" i="11"/>
  <c r="F90" i="9"/>
  <c r="O10" i="9"/>
  <c r="O100" i="9"/>
  <c r="O60" i="9"/>
  <c r="O9" i="9"/>
  <c r="O87" i="9"/>
  <c r="O6" i="9"/>
  <c r="O97" i="9"/>
  <c r="F17" i="9"/>
  <c r="F25" i="9" s="1"/>
  <c r="O57" i="9"/>
  <c r="D97" i="9"/>
  <c r="F65" i="9"/>
  <c r="D62" i="9"/>
  <c r="D89" i="9"/>
  <c r="H89" i="9"/>
  <c r="H95" i="9" s="1"/>
  <c r="L57" i="9"/>
  <c r="L61" i="9"/>
  <c r="J105" i="9"/>
  <c r="D17" i="9"/>
  <c r="D24" i="9" s="1"/>
  <c r="D25" i="9" s="1"/>
  <c r="H17" i="9"/>
  <c r="H25" i="9" s="1"/>
  <c r="L101" i="9"/>
  <c r="L97" i="9"/>
  <c r="F20" i="9"/>
  <c r="W30" i="10"/>
  <c r="B65" i="9"/>
  <c r="L17" i="9"/>
  <c r="J25" i="9"/>
  <c r="B25" i="9"/>
  <c r="L21" i="9"/>
  <c r="F10" i="9"/>
  <c r="J27" i="9" l="1"/>
  <c r="J32" i="9" s="1"/>
  <c r="S28" i="11"/>
  <c r="Q30" i="11"/>
  <c r="S30" i="11" s="1"/>
  <c r="T30" i="11" s="1"/>
  <c r="F95" i="9"/>
  <c r="D104" i="9"/>
  <c r="H105" i="9"/>
  <c r="F105" i="9"/>
  <c r="J6" i="9"/>
  <c r="L65" i="9"/>
  <c r="J92" i="9"/>
  <c r="J95" i="9" s="1"/>
  <c r="L91" i="9"/>
  <c r="L87" i="9"/>
  <c r="B95" i="9"/>
  <c r="D64" i="9"/>
  <c r="D65" i="9" s="1"/>
  <c r="L105" i="9"/>
  <c r="L25" i="9"/>
  <c r="W21" i="10"/>
  <c r="W20" i="10"/>
  <c r="W19" i="10"/>
  <c r="W18" i="10"/>
  <c r="W17" i="10"/>
  <c r="W16" i="10"/>
  <c r="W13" i="10"/>
  <c r="F8" i="9"/>
  <c r="P24" i="10"/>
  <c r="P25" i="10" s="1"/>
  <c r="O24" i="10"/>
  <c r="O25" i="10" s="1"/>
  <c r="H24" i="10"/>
  <c r="H25" i="10" s="1"/>
  <c r="G24" i="10"/>
  <c r="F24" i="10"/>
  <c r="F25" i="10" s="1"/>
  <c r="E24" i="10"/>
  <c r="E32" i="10"/>
  <c r="E28" i="10"/>
  <c r="U32" i="10"/>
  <c r="U28" i="10"/>
  <c r="V24" i="10"/>
  <c r="V25" i="10" s="1"/>
  <c r="U24" i="10"/>
  <c r="U25" i="10" s="1"/>
  <c r="S32" i="10"/>
  <c r="T24" i="10"/>
  <c r="T25" i="10" s="1"/>
  <c r="O32" i="10"/>
  <c r="O28" i="10"/>
  <c r="O80" i="9"/>
  <c r="O27" i="9"/>
  <c r="E30" i="9"/>
  <c r="G29" i="9"/>
  <c r="H29" i="9" s="1"/>
  <c r="E29" i="9"/>
  <c r="F29" i="9" s="1"/>
  <c r="C29" i="9"/>
  <c r="D29" i="9" s="1"/>
  <c r="E28" i="9"/>
  <c r="F28" i="9" s="1"/>
  <c r="G32" i="10"/>
  <c r="G28" i="10"/>
  <c r="Q32" i="10"/>
  <c r="Q28" i="10"/>
  <c r="R24" i="10"/>
  <c r="R25" i="10" s="1"/>
  <c r="Q24" i="10"/>
  <c r="Q25" i="10" s="1"/>
  <c r="W33" i="10"/>
  <c r="W9" i="10"/>
  <c r="W8" i="10"/>
  <c r="E80" i="9"/>
  <c r="C79" i="9"/>
  <c r="G79" i="9"/>
  <c r="E79" i="9"/>
  <c r="E78" i="9"/>
  <c r="D105" i="9" l="1"/>
  <c r="S32" i="11"/>
  <c r="T28" i="11"/>
  <c r="D92" i="9"/>
  <c r="L95" i="9"/>
  <c r="G25" i="10"/>
  <c r="J35" i="9"/>
  <c r="H35" i="9"/>
  <c r="W15" i="10"/>
  <c r="W28" i="10"/>
  <c r="E25" i="10"/>
  <c r="W14" i="10"/>
  <c r="W7" i="10"/>
  <c r="Y7" i="10" s="1"/>
  <c r="S24" i="10"/>
  <c r="S25" i="10" s="1"/>
  <c r="F30" i="9"/>
  <c r="W32" i="10"/>
  <c r="L27" i="9"/>
  <c r="B35" i="9"/>
  <c r="L31" i="9"/>
  <c r="W34" i="10"/>
  <c r="D94" i="9" l="1"/>
  <c r="D95" i="9" s="1"/>
  <c r="U33" i="11"/>
  <c r="T32" i="11"/>
  <c r="F35" i="9"/>
  <c r="L35" i="9"/>
  <c r="D34" i="9"/>
  <c r="D35" i="9" s="1"/>
  <c r="W27" i="10"/>
  <c r="H79" i="9" l="1"/>
  <c r="F80" i="9" l="1"/>
  <c r="D79" i="9"/>
  <c r="C31" i="10"/>
  <c r="W31" i="10" s="1"/>
  <c r="F78" i="9"/>
  <c r="J8" i="9"/>
  <c r="J7" i="9"/>
  <c r="D24" i="10"/>
  <c r="D25" i="10" s="1"/>
  <c r="F7" i="9"/>
  <c r="W24" i="10"/>
  <c r="L7" i="9"/>
  <c r="C25" i="10" l="1"/>
  <c r="L8" i="9"/>
  <c r="F79" i="9"/>
  <c r="W25" i="10" l="1"/>
  <c r="H9" i="9"/>
  <c r="H15" i="9" s="1"/>
  <c r="L11" i="9"/>
  <c r="F9" i="9"/>
  <c r="F15" i="9" s="1"/>
  <c r="L9" i="9"/>
  <c r="J9" i="9"/>
  <c r="O77" i="9"/>
  <c r="J12" i="9" l="1"/>
  <c r="J77" i="9"/>
  <c r="J82" i="9" s="1"/>
  <c r="H85" i="9"/>
  <c r="F85" i="9"/>
  <c r="F106" i="9" s="1"/>
  <c r="L81" i="9"/>
  <c r="L77" i="9"/>
  <c r="B85" i="9"/>
  <c r="B106" i="9" s="1"/>
  <c r="C108" i="9" l="1"/>
  <c r="D82" i="9"/>
  <c r="J85" i="9"/>
  <c r="L6" i="9"/>
  <c r="L15" i="9" s="1"/>
  <c r="L85" i="9"/>
  <c r="D12" i="9"/>
  <c r="D84" i="9" l="1"/>
  <c r="D85" i="9" s="1"/>
  <c r="D14" i="9"/>
  <c r="D15" i="9" s="1"/>
  <c r="L106" i="9"/>
  <c r="J15" i="9" l="1"/>
</calcChain>
</file>

<file path=xl/sharedStrings.xml><?xml version="1.0" encoding="utf-8"?>
<sst xmlns="http://schemas.openxmlformats.org/spreadsheetml/2006/main" count="323" uniqueCount="99">
  <si>
    <t>TOTAL</t>
  </si>
  <si>
    <t>1er trimestre</t>
  </si>
  <si>
    <t>2ème trimestre</t>
  </si>
  <si>
    <t>3ème trimestre</t>
  </si>
  <si>
    <t>4ème trimestre</t>
  </si>
  <si>
    <t>SIEGE</t>
  </si>
  <si>
    <t>Bases</t>
  </si>
  <si>
    <t>Ecart</t>
  </si>
  <si>
    <t>Forfait</t>
  </si>
  <si>
    <t>Brut</t>
  </si>
  <si>
    <t>BASES SS</t>
  </si>
  <si>
    <t>Permanent</t>
  </si>
  <si>
    <t>Permanent CDD</t>
  </si>
  <si>
    <t>Intermittent</t>
  </si>
  <si>
    <t>TOTAUX</t>
  </si>
  <si>
    <t>APDS</t>
  </si>
  <si>
    <t>AFDAS</t>
  </si>
  <si>
    <t>CPNEF</t>
  </si>
  <si>
    <t>Minimum</t>
  </si>
  <si>
    <t>Maximum</t>
  </si>
  <si>
    <t>COMPTABILITE</t>
  </si>
  <si>
    <t>LIVRE DE PAIE</t>
  </si>
  <si>
    <t>Brut social</t>
  </si>
  <si>
    <t>Imposable</t>
  </si>
  <si>
    <t>Non imposable</t>
  </si>
  <si>
    <t>ECART</t>
  </si>
  <si>
    <t>PCG</t>
  </si>
  <si>
    <t>Salaires bruts (Films)</t>
  </si>
  <si>
    <t>Indemnités imposables (Films)</t>
  </si>
  <si>
    <t>Indemnités non imposables (Films)</t>
  </si>
  <si>
    <t>RECAPITULATIF PCG</t>
  </si>
  <si>
    <t>Brut social (stagiaire conventionné)</t>
  </si>
  <si>
    <t>OK</t>
  </si>
  <si>
    <t>CONSTRUCTION</t>
  </si>
  <si>
    <t>Intermittent Brut x 11,50%</t>
  </si>
  <si>
    <t>(*) Si &gt; maximum sans charges</t>
  </si>
  <si>
    <t>BASE BRUTE SS</t>
  </si>
  <si>
    <t>CONTRÔLE BASE BRUTE SS</t>
  </si>
  <si>
    <t>Indemnités non imposables</t>
  </si>
  <si>
    <t xml:space="preserve"> </t>
  </si>
  <si>
    <t>Récap. Urssaf Brut social</t>
  </si>
  <si>
    <t>641400F</t>
  </si>
  <si>
    <t>Indemnités imposables</t>
  </si>
  <si>
    <t>Salaires bruts antérieurs (Films)</t>
  </si>
  <si>
    <t>Etrangers (brut abattu)</t>
  </si>
  <si>
    <t>Base congés x 10%</t>
  </si>
  <si>
    <t>Brut x 11,50%</t>
  </si>
  <si>
    <t>RECAPITULATIF</t>
  </si>
  <si>
    <t>Stagiaire convention (*)</t>
  </si>
  <si>
    <t>Permanent Stagiaire (*)</t>
  </si>
  <si>
    <t>CHIFOUMI PRODUCTIONS</t>
  </si>
  <si>
    <t>Salaires bruts</t>
  </si>
  <si>
    <t>641410F</t>
  </si>
  <si>
    <t>ZONE A DEFENDRE</t>
  </si>
  <si>
    <t>641100F</t>
  </si>
  <si>
    <r>
      <t>Forfait</t>
    </r>
    <r>
      <rPr>
        <sz val="11"/>
        <color rgb="FFC00000"/>
        <rFont val="Calibri"/>
        <family val="2"/>
        <scheme val="minor"/>
      </rPr>
      <t xml:space="preserve"> (SIEGE)</t>
    </r>
  </si>
  <si>
    <t>J'AI CROISE LE LOUP</t>
  </si>
  <si>
    <t>Gratifications stagiaires</t>
  </si>
  <si>
    <t>Gratifications stagiaires (Films)</t>
  </si>
  <si>
    <t>641300F</t>
  </si>
  <si>
    <t>Indemnités/Frais</t>
  </si>
  <si>
    <t>SIEGE TV (COMPTE SIEGE)</t>
  </si>
  <si>
    <t>CCHSCT</t>
  </si>
  <si>
    <t>APPAV</t>
  </si>
  <si>
    <t>Cadre</t>
  </si>
  <si>
    <t>Non cadre</t>
  </si>
  <si>
    <r>
      <t>SIEGE TV</t>
    </r>
    <r>
      <rPr>
        <b/>
        <sz val="11"/>
        <color rgb="FFC00000"/>
        <rFont val="Calibri"/>
        <family val="2"/>
        <scheme val="minor"/>
      </rPr>
      <t xml:space="preserve"> (SIEGE)</t>
    </r>
  </si>
  <si>
    <t xml:space="preserve"> - ceux remboursés en notes de frais</t>
  </si>
  <si>
    <t>TONI EN FAMILLE</t>
  </si>
  <si>
    <t>NOUVEAUX RICHES</t>
  </si>
  <si>
    <t>NOUVEAUX RICHES (TV)</t>
  </si>
  <si>
    <t>ZONE A DEFENDRE (TV)</t>
  </si>
  <si>
    <t>SOLDE URSSAF</t>
  </si>
  <si>
    <t>SOLDE AFDAS</t>
  </si>
  <si>
    <t>BLOC DSN</t>
  </si>
  <si>
    <t>NI CHAINES NI MAITRES</t>
  </si>
  <si>
    <t>FIN D'ANNEE</t>
  </si>
  <si>
    <r>
      <t>CCHSCT/APPAV</t>
    </r>
    <r>
      <rPr>
        <b/>
        <sz val="14"/>
        <color rgb="FFC00000"/>
        <rFont val="Calibri"/>
        <family val="2"/>
        <scheme val="minor"/>
      </rPr>
      <t xml:space="preserve"> 2023</t>
    </r>
  </si>
  <si>
    <t>HT</t>
  </si>
  <si>
    <t>THALIE (CMB)</t>
  </si>
  <si>
    <t>LEURS ENFANTS APRES EUX</t>
  </si>
  <si>
    <t>LE ROYAUME</t>
  </si>
  <si>
    <t>L'AVANT DERNIERE SEANCE</t>
  </si>
  <si>
    <t>T1</t>
  </si>
  <si>
    <t>TAT1</t>
  </si>
  <si>
    <t>SIEGE/ARTIC</t>
  </si>
  <si>
    <t>SIEGE TV (GOLO)</t>
  </si>
  <si>
    <t>Pas fait (oubli)</t>
  </si>
  <si>
    <t>Rien payé</t>
  </si>
  <si>
    <t>Cadrage</t>
  </si>
  <si>
    <t>Cadrage/Paiement</t>
  </si>
  <si>
    <t>Manque stagiaire ?</t>
  </si>
  <si>
    <r>
      <t>AUTRES</t>
    </r>
    <r>
      <rPr>
        <b/>
        <sz val="14"/>
        <color rgb="FFC00000"/>
        <rFont val="Calibri"/>
        <family val="2"/>
        <scheme val="minor"/>
      </rPr>
      <t xml:space="preserve"> 2023</t>
    </r>
  </si>
  <si>
    <t>Tva pas comptabilisée</t>
  </si>
  <si>
    <r>
      <t xml:space="preserve">BASES </t>
    </r>
    <r>
      <rPr>
        <b/>
        <sz val="14"/>
        <color rgb="FFC00000"/>
        <rFont val="Calibri"/>
        <family val="2"/>
        <scheme val="minor"/>
      </rPr>
      <t>2023</t>
    </r>
  </si>
  <si>
    <t>Brut cadre</t>
  </si>
  <si>
    <t>Calcul non fait sur le group 5 Artistes ?</t>
  </si>
  <si>
    <t>Calcul non fait sur le group 5 Artistes + Non résident ?</t>
  </si>
  <si>
    <t>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</si>
</sst>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#,##0;\(#,##0\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7" fillId="0" borderId="0"/>
    <xf numFmtId="0" fontId="9" fillId="0" borderId="0"/>
    <xf numFmtId="0" fontId="11" fillId="0" borderId="0"/>
    <xf numFmtId="0" fontId="12" fillId="0" borderId="0"/>
  </cellStyleXfs>
  <cellXfs count="215">
    <xf numFmtId="0" fontId="0" fillId="0" borderId="0" xfId="0"/>
    <xf numFmtId="3" fontId="2" fillId="0" borderId="0" xfId="0" applyNumberFormat="1" applyFont="1"/>
    <xf numFmtId="0" fontId="2" fillId="0" borderId="0" xfId="0" applyFont="1"/>
    <xf numFmtId="3" fontId="2" fillId="0" borderId="3" xfId="0" applyNumberFormat="1" applyFont="1" applyBorder="1"/>
    <xf numFmtId="0" fontId="2" fillId="0" borderId="3" xfId="0" applyFont="1" applyBorder="1" applyAlignment="1">
      <alignment horizontal="center"/>
    </xf>
    <xf numFmtId="0" fontId="0" fillId="0" borderId="2" xfId="0" applyBorder="1"/>
    <xf numFmtId="0" fontId="0" fillId="0" borderId="13" xfId="0" applyBorder="1"/>
    <xf numFmtId="0" fontId="3" fillId="0" borderId="0" xfId="0" applyFont="1"/>
    <xf numFmtId="0" fontId="2" fillId="0" borderId="2" xfId="0" applyFont="1" applyBorder="1" applyAlignment="1">
      <alignment horizontal="center"/>
    </xf>
    <xf numFmtId="3" fontId="0" fillId="0" borderId="2" xfId="0" applyNumberFormat="1" applyBorder="1"/>
    <xf numFmtId="3" fontId="0" fillId="0" borderId="0" xfId="0" applyNumberFormat="1"/>
    <xf numFmtId="3" fontId="2" fillId="0" borderId="10" xfId="0" applyNumberFormat="1" applyFont="1" applyBorder="1" applyAlignment="1">
      <alignment horizontal="centerContinuous"/>
    </xf>
    <xf numFmtId="3" fontId="0" fillId="0" borderId="9" xfId="0" applyNumberFormat="1" applyBorder="1"/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10" fontId="0" fillId="0" borderId="1" xfId="1" applyNumberFormat="1" applyFont="1" applyBorder="1"/>
    <xf numFmtId="10" fontId="0" fillId="0" borderId="8" xfId="1" applyNumberFormat="1" applyFont="1" applyBorder="1"/>
    <xf numFmtId="3" fontId="2" fillId="0" borderId="2" xfId="0" applyNumberFormat="1" applyFont="1" applyBorder="1" applyAlignment="1">
      <alignment horizontal="centerContinuous"/>
    </xf>
    <xf numFmtId="4" fontId="2" fillId="0" borderId="3" xfId="0" applyNumberFormat="1" applyFont="1" applyBorder="1"/>
    <xf numFmtId="4" fontId="2" fillId="0" borderId="7" xfId="0" applyNumberFormat="1" applyFont="1" applyBorder="1" applyAlignment="1">
      <alignment horizontal="center"/>
    </xf>
    <xf numFmtId="4" fontId="2" fillId="0" borderId="7" xfId="0" applyNumberFormat="1" applyFont="1" applyBorder="1"/>
    <xf numFmtId="4" fontId="2" fillId="0" borderId="0" xfId="0" applyNumberFormat="1" applyFont="1"/>
    <xf numFmtId="164" fontId="0" fillId="0" borderId="1" xfId="1" applyNumberFormat="1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65" fontId="0" fillId="0" borderId="2" xfId="0" applyNumberFormat="1" applyBorder="1"/>
    <xf numFmtId="165" fontId="0" fillId="0" borderId="13" xfId="0" applyNumberFormat="1" applyBorder="1"/>
    <xf numFmtId="0" fontId="4" fillId="0" borderId="0" xfId="0" applyFont="1" applyAlignment="1">
      <alignment horizontal="right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10" fontId="0" fillId="0" borderId="0" xfId="1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3" fontId="2" fillId="0" borderId="10" xfId="0" applyNumberFormat="1" applyFont="1" applyBorder="1" applyAlignment="1">
      <alignment horizontal="centerContinuous" vertical="center"/>
    </xf>
    <xf numFmtId="10" fontId="2" fillId="0" borderId="11" xfId="1" applyNumberFormat="1" applyFont="1" applyBorder="1" applyAlignment="1">
      <alignment horizontal="centerContinuous" vertical="center"/>
    </xf>
    <xf numFmtId="3" fontId="2" fillId="0" borderId="11" xfId="0" applyNumberFormat="1" applyFont="1" applyBorder="1" applyAlignment="1">
      <alignment horizontal="centerContinuous" vertical="center"/>
    </xf>
    <xf numFmtId="0" fontId="2" fillId="0" borderId="10" xfId="0" applyFont="1" applyBorder="1" applyAlignment="1">
      <alignment horizontal="centerContinuous" vertical="center"/>
    </xf>
    <xf numFmtId="0" fontId="2" fillId="0" borderId="12" xfId="0" applyFont="1" applyBorder="1" applyAlignment="1">
      <alignment horizontal="centerContinuous" vertical="center"/>
    </xf>
    <xf numFmtId="0" fontId="2" fillId="0" borderId="1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Continuous" vertical="center"/>
    </xf>
    <xf numFmtId="10" fontId="2" fillId="0" borderId="0" xfId="1" applyNumberFormat="1" applyFont="1" applyAlignment="1">
      <alignment horizontal="centerContinuous" vertical="center"/>
    </xf>
    <xf numFmtId="3" fontId="2" fillId="0" borderId="0" xfId="0" applyNumberFormat="1" applyFont="1" applyAlignment="1">
      <alignment horizontal="centerContinuous" vertical="center"/>
    </xf>
    <xf numFmtId="3" fontId="2" fillId="0" borderId="4" xfId="0" applyNumberFormat="1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1" fontId="0" fillId="0" borderId="2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3" fontId="0" fillId="0" borderId="8" xfId="0" applyNumberFormat="1" applyBorder="1" applyAlignment="1">
      <alignment vertical="center"/>
    </xf>
    <xf numFmtId="10" fontId="0" fillId="0" borderId="9" xfId="1" applyNumberFormat="1" applyFont="1" applyBorder="1" applyAlignment="1">
      <alignment vertical="center"/>
    </xf>
    <xf numFmtId="3" fontId="0" fillId="0" borderId="9" xfId="0" applyNumberForma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horizontal="centerContinuous" vertical="center" wrapText="1"/>
    </xf>
    <xf numFmtId="0" fontId="0" fillId="0" borderId="0" xfId="0" applyAlignment="1">
      <alignment horizontal="right"/>
    </xf>
    <xf numFmtId="4" fontId="2" fillId="0" borderId="0" xfId="0" applyNumberFormat="1" applyFont="1" applyAlignment="1">
      <alignment horizontal="center"/>
    </xf>
    <xf numFmtId="0" fontId="2" fillId="0" borderId="13" xfId="0" applyFont="1" applyBorder="1" applyAlignment="1">
      <alignment horizontal="center"/>
    </xf>
    <xf numFmtId="3" fontId="0" fillId="2" borderId="0" xfId="0" applyNumberFormat="1" applyFill="1"/>
    <xf numFmtId="4" fontId="2" fillId="0" borderId="7" xfId="0" applyNumberFormat="1" applyFont="1" applyBorder="1" applyProtection="1">
      <protection locked="0"/>
    </xf>
    <xf numFmtId="0" fontId="2" fillId="2" borderId="1" xfId="0" applyFont="1" applyFill="1" applyBorder="1" applyAlignment="1">
      <alignment horizontal="center"/>
    </xf>
    <xf numFmtId="4" fontId="2" fillId="2" borderId="7" xfId="0" applyNumberFormat="1" applyFont="1" applyFill="1" applyBorder="1" applyAlignment="1">
      <alignment horizontal="center"/>
    </xf>
    <xf numFmtId="164" fontId="0" fillId="2" borderId="1" xfId="1" applyNumberFormat="1" applyFont="1" applyFill="1" applyBorder="1"/>
    <xf numFmtId="4" fontId="2" fillId="2" borderId="7" xfId="0" applyNumberFormat="1" applyFont="1" applyFill="1" applyBorder="1"/>
    <xf numFmtId="10" fontId="0" fillId="2" borderId="1" xfId="1" applyNumberFormat="1" applyFont="1" applyFill="1" applyBorder="1"/>
    <xf numFmtId="10" fontId="0" fillId="2" borderId="8" xfId="1" applyNumberFormat="1" applyFont="1" applyFill="1" applyBorder="1"/>
    <xf numFmtId="4" fontId="2" fillId="2" borderId="3" xfId="0" applyNumberFormat="1" applyFont="1" applyFill="1" applyBorder="1"/>
    <xf numFmtId="0" fontId="0" fillId="0" borderId="0" xfId="0" applyAlignment="1">
      <alignment horizontal="left"/>
    </xf>
    <xf numFmtId="4" fontId="2" fillId="0" borderId="0" xfId="0" applyNumberFormat="1" applyFont="1" applyAlignment="1">
      <alignment horizontal="centerContinuous" vertical="center"/>
    </xf>
    <xf numFmtId="4" fontId="2" fillId="0" borderId="6" xfId="0" applyNumberFormat="1" applyFont="1" applyBorder="1" applyAlignment="1">
      <alignment horizontal="centerContinuous" vertical="center"/>
    </xf>
    <xf numFmtId="4" fontId="2" fillId="0" borderId="0" xfId="0" applyNumberFormat="1" applyFont="1" applyAlignment="1">
      <alignment vertical="center"/>
    </xf>
    <xf numFmtId="4" fontId="2" fillId="0" borderId="7" xfId="0" applyNumberFormat="1" applyFont="1" applyBorder="1" applyAlignment="1">
      <alignment vertical="center"/>
    </xf>
    <xf numFmtId="164" fontId="0" fillId="0" borderId="0" xfId="1" applyNumberFormat="1" applyFont="1" applyAlignment="1">
      <alignment vertical="center"/>
    </xf>
    <xf numFmtId="4" fontId="2" fillId="0" borderId="14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9" fontId="0" fillId="0" borderId="0" xfId="1" applyFont="1" applyAlignment="1">
      <alignment vertical="center"/>
    </xf>
    <xf numFmtId="3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11" xfId="0" applyBorder="1" applyAlignment="1">
      <alignment horizontal="center"/>
    </xf>
    <xf numFmtId="3" fontId="0" fillId="0" borderId="11" xfId="0" applyNumberFormat="1" applyBorder="1"/>
    <xf numFmtId="165" fontId="0" fillId="0" borderId="2" xfId="0" applyNumberFormat="1" applyBorder="1" applyAlignment="1">
      <alignment horizontal="left" indent="1"/>
    </xf>
    <xf numFmtId="165" fontId="0" fillId="0" borderId="13" xfId="0" applyNumberFormat="1" applyBorder="1" applyAlignment="1">
      <alignment horizontal="left" indent="1"/>
    </xf>
    <xf numFmtId="165" fontId="0" fillId="0" borderId="3" xfId="0" applyNumberFormat="1" applyBorder="1"/>
    <xf numFmtId="0" fontId="0" fillId="0" borderId="2" xfId="0" applyBorder="1" applyAlignment="1">
      <alignment horizontal="left" indent="1"/>
    </xf>
    <xf numFmtId="10" fontId="0" fillId="0" borderId="0" xfId="1" applyNumberFormat="1" applyFont="1" applyFill="1" applyAlignment="1">
      <alignment vertical="center"/>
    </xf>
    <xf numFmtId="164" fontId="0" fillId="0" borderId="0" xfId="1" applyNumberFormat="1" applyFont="1" applyFill="1" applyAlignment="1">
      <alignment vertical="center"/>
    </xf>
    <xf numFmtId="10" fontId="0" fillId="0" borderId="9" xfId="1" applyNumberFormat="1" applyFont="1" applyFill="1" applyBorder="1" applyAlignment="1">
      <alignment vertical="center"/>
    </xf>
    <xf numFmtId="10" fontId="0" fillId="0" borderId="0" xfId="1" applyNumberFormat="1" applyFont="1" applyBorder="1" applyAlignment="1">
      <alignment vertical="center"/>
    </xf>
    <xf numFmtId="3" fontId="0" fillId="0" borderId="3" xfId="0" applyNumberFormat="1" applyBorder="1"/>
    <xf numFmtId="0" fontId="10" fillId="0" borderId="0" xfId="0" applyFont="1" applyAlignment="1">
      <alignment horizontal="right"/>
    </xf>
    <xf numFmtId="4" fontId="13" fillId="0" borderId="7" xfId="0" applyNumberFormat="1" applyFont="1" applyBorder="1" applyProtection="1">
      <protection locked="0"/>
    </xf>
    <xf numFmtId="4" fontId="2" fillId="0" borderId="5" xfId="0" applyNumberFormat="1" applyFont="1" applyBorder="1"/>
    <xf numFmtId="4" fontId="10" fillId="0" borderId="0" xfId="0" applyNumberFormat="1" applyFont="1" applyAlignment="1">
      <alignment horizontal="right" vertical="center"/>
    </xf>
    <xf numFmtId="4" fontId="10" fillId="0" borderId="14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164" fontId="10" fillId="0" borderId="0" xfId="1" applyNumberFormat="1" applyFont="1" applyAlignment="1">
      <alignment vertical="center"/>
    </xf>
    <xf numFmtId="10" fontId="1" fillId="0" borderId="0" xfId="1" applyNumberFormat="1" applyFont="1" applyAlignment="1">
      <alignment vertical="center"/>
    </xf>
    <xf numFmtId="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9" fontId="1" fillId="0" borderId="0" xfId="1" applyFont="1" applyAlignment="1">
      <alignment vertical="center"/>
    </xf>
    <xf numFmtId="164" fontId="10" fillId="0" borderId="0" xfId="1" applyNumberFormat="1" applyFont="1" applyBorder="1" applyAlignment="1">
      <alignment vertical="center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3" xfId="0" applyBorder="1" applyAlignment="1">
      <alignment horizontal="left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0" fillId="0" borderId="8" xfId="0" applyBorder="1"/>
    <xf numFmtId="0" fontId="2" fillId="0" borderId="2" xfId="0" applyFont="1" applyBorder="1"/>
    <xf numFmtId="0" fontId="2" fillId="0" borderId="4" xfId="0" applyFont="1" applyBorder="1"/>
    <xf numFmtId="0" fontId="0" fillId="0" borderId="15" xfId="0" applyBorder="1" applyAlignment="1">
      <alignment horizontal="left"/>
    </xf>
    <xf numFmtId="165" fontId="0" fillId="0" borderId="15" xfId="0" applyNumberFormat="1" applyBorder="1"/>
    <xf numFmtId="0" fontId="0" fillId="0" borderId="15" xfId="0" applyBorder="1" applyAlignment="1">
      <alignment horizontal="left" indent="1"/>
    </xf>
    <xf numFmtId="3" fontId="0" fillId="0" borderId="5" xfId="0" applyNumberFormat="1" applyBorder="1"/>
    <xf numFmtId="0" fontId="0" fillId="0" borderId="15" xfId="0" applyBorder="1"/>
    <xf numFmtId="3" fontId="0" fillId="0" borderId="6" xfId="0" applyNumberFormat="1" applyBorder="1"/>
    <xf numFmtId="3" fontId="0" fillId="0" borderId="14" xfId="0" applyNumberFormat="1" applyBorder="1"/>
    <xf numFmtId="165" fontId="0" fillId="0" borderId="2" xfId="0" applyNumberForma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" fontId="0" fillId="0" borderId="14" xfId="0" applyNumberFormat="1" applyBorder="1" applyAlignment="1">
      <alignment vertical="center"/>
    </xf>
    <xf numFmtId="164" fontId="1" fillId="0" borderId="0" xfId="1" applyNumberFormat="1" applyFont="1" applyAlignment="1">
      <alignment vertical="center"/>
    </xf>
    <xf numFmtId="10" fontId="1" fillId="0" borderId="0" xfId="1" applyNumberFormat="1" applyFont="1" applyFill="1" applyAlignment="1">
      <alignment vertical="center"/>
    </xf>
    <xf numFmtId="4" fontId="17" fillId="0" borderId="14" xfId="0" applyNumberFormat="1" applyFont="1" applyBorder="1" applyAlignment="1">
      <alignment vertical="center"/>
    </xf>
    <xf numFmtId="0" fontId="17" fillId="0" borderId="0" xfId="0" applyFont="1" applyAlignment="1">
      <alignment horizontal="right"/>
    </xf>
    <xf numFmtId="4" fontId="3" fillId="0" borderId="0" xfId="0" applyNumberFormat="1" applyFont="1"/>
    <xf numFmtId="4" fontId="0" fillId="0" borderId="0" xfId="0" applyNumberFormat="1"/>
    <xf numFmtId="4" fontId="2" fillId="0" borderId="3" xfId="0" applyNumberFormat="1" applyFont="1" applyBorder="1" applyAlignment="1">
      <alignment horizontal="center"/>
    </xf>
    <xf numFmtId="4" fontId="0" fillId="0" borderId="2" xfId="0" applyNumberFormat="1" applyBorder="1"/>
    <xf numFmtId="4" fontId="2" fillId="0" borderId="2" xfId="0" applyNumberFormat="1" applyFont="1" applyBorder="1"/>
    <xf numFmtId="4" fontId="10" fillId="0" borderId="2" xfId="0" applyNumberFormat="1" applyFont="1" applyBorder="1"/>
    <xf numFmtId="4" fontId="0" fillId="0" borderId="13" xfId="0" applyNumberFormat="1" applyBorder="1"/>
    <xf numFmtId="4" fontId="14" fillId="0" borderId="15" xfId="0" applyNumberFormat="1" applyFont="1" applyBorder="1"/>
    <xf numFmtId="4" fontId="2" fillId="0" borderId="10" xfId="0" applyNumberFormat="1" applyFont="1" applyBorder="1"/>
    <xf numFmtId="4" fontId="2" fillId="0" borderId="15" xfId="0" applyNumberFormat="1" applyFont="1" applyBorder="1"/>
    <xf numFmtId="0" fontId="0" fillId="0" borderId="0" xfId="0" applyAlignment="1">
      <alignment horizontal="right" vertical="center"/>
    </xf>
    <xf numFmtId="0" fontId="17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0" fontId="8" fillId="0" borderId="0" xfId="1" applyNumberFormat="1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9" fontId="8" fillId="0" borderId="0" xfId="1" applyFont="1" applyAlignment="1">
      <alignment vertical="center"/>
    </xf>
    <xf numFmtId="0" fontId="16" fillId="0" borderId="2" xfId="0" applyFont="1" applyBorder="1" applyAlignment="1">
      <alignment horizontal="center"/>
    </xf>
    <xf numFmtId="165" fontId="0" fillId="0" borderId="0" xfId="0" applyNumberFormat="1" applyAlignment="1">
      <alignment horizontal="right"/>
    </xf>
    <xf numFmtId="165" fontId="0" fillId="0" borderId="0" xfId="0" applyNumberFormat="1" applyAlignment="1">
      <alignment horizontal="left" indent="1"/>
    </xf>
    <xf numFmtId="4" fontId="2" fillId="3" borderId="3" xfId="0" applyNumberFormat="1" applyFont="1" applyFill="1" applyBorder="1"/>
    <xf numFmtId="165" fontId="0" fillId="0" borderId="0" xfId="0" applyNumberFormat="1"/>
    <xf numFmtId="0" fontId="15" fillId="0" borderId="2" xfId="0" applyFont="1" applyBorder="1"/>
    <xf numFmtId="3" fontId="15" fillId="0" borderId="2" xfId="0" applyNumberFormat="1" applyFont="1" applyBorder="1"/>
    <xf numFmtId="10" fontId="15" fillId="0" borderId="1" xfId="1" applyNumberFormat="1" applyFont="1" applyBorder="1"/>
    <xf numFmtId="164" fontId="15" fillId="0" borderId="1" xfId="1" applyNumberFormat="1" applyFont="1" applyBorder="1"/>
    <xf numFmtId="10" fontId="15" fillId="2" borderId="1" xfId="1" applyNumberFormat="1" applyFont="1" applyFill="1" applyBorder="1"/>
    <xf numFmtId="4" fontId="15" fillId="0" borderId="2" xfId="0" applyNumberFormat="1" applyFont="1" applyBorder="1"/>
    <xf numFmtId="0" fontId="15" fillId="0" borderId="0" xfId="0" applyFont="1"/>
    <xf numFmtId="4" fontId="15" fillId="0" borderId="7" xfId="0" applyNumberFormat="1" applyFont="1" applyBorder="1"/>
    <xf numFmtId="4" fontId="15" fillId="2" borderId="7" xfId="0" applyNumberFormat="1" applyFont="1" applyFill="1" applyBorder="1"/>
    <xf numFmtId="4" fontId="15" fillId="0" borderId="0" xfId="0" applyNumberFormat="1" applyFont="1"/>
    <xf numFmtId="3" fontId="20" fillId="0" borderId="0" xfId="0" applyNumberFormat="1" applyFont="1"/>
    <xf numFmtId="3" fontId="15" fillId="0" borderId="0" xfId="0" applyNumberFormat="1" applyFont="1"/>
    <xf numFmtId="3" fontId="8" fillId="0" borderId="2" xfId="0" applyNumberFormat="1" applyFont="1" applyBorder="1"/>
    <xf numFmtId="4" fontId="17" fillId="0" borderId="3" xfId="0" applyNumberFormat="1" applyFont="1" applyBorder="1"/>
    <xf numFmtId="4" fontId="14" fillId="0" borderId="7" xfId="0" applyNumberFormat="1" applyFont="1" applyBorder="1"/>
    <xf numFmtId="10" fontId="0" fillId="0" borderId="8" xfId="1" applyNumberFormat="1" applyFont="1" applyFill="1" applyBorder="1"/>
    <xf numFmtId="0" fontId="15" fillId="0" borderId="0" xfId="0" applyFont="1" applyAlignment="1">
      <alignment vertical="center"/>
    </xf>
    <xf numFmtId="0" fontId="2" fillId="0" borderId="5" xfId="0" applyFont="1" applyBorder="1" applyAlignment="1">
      <alignment horizontal="center"/>
    </xf>
    <xf numFmtId="2" fontId="2" fillId="0" borderId="5" xfId="0" applyNumberFormat="1" applyFont="1" applyBorder="1"/>
    <xf numFmtId="0" fontId="2" fillId="0" borderId="0" xfId="0" applyFont="1" applyAlignment="1">
      <alignment horizontal="center"/>
    </xf>
    <xf numFmtId="3" fontId="16" fillId="0" borderId="10" xfId="0" applyNumberFormat="1" applyFont="1" applyBorder="1" applyAlignment="1">
      <alignment horizontal="center" wrapText="1"/>
    </xf>
    <xf numFmtId="3" fontId="16" fillId="0" borderId="12" xfId="0" applyNumberFormat="1" applyFont="1" applyBorder="1" applyAlignment="1">
      <alignment horizontal="center" wrapText="1"/>
    </xf>
    <xf numFmtId="3" fontId="19" fillId="0" borderId="10" xfId="0" applyNumberFormat="1" applyFont="1" applyBorder="1" applyAlignment="1">
      <alignment horizontal="center" wrapText="1"/>
    </xf>
    <xf numFmtId="3" fontId="19" fillId="0" borderId="12" xfId="0" applyNumberFormat="1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0" fillId="0" borderId="14" xfId="0" applyNumberFormat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3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 applyAlignment="1">
      <alignment vertical="center"/>
    </xf>
    <xf numFmtId="4" fontId="10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>
      <alignment vertical="center"/>
    </xf>
    <xf numFmtId="3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7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9" fontId="0" fillId="0" borderId="0" xfId="1" applyFont="1" applyFill="1" applyAlignment="1">
      <alignment vertical="center"/>
    </xf>
  </cellXfs>
  <cellStyles count="6">
    <cellStyle name="Normal" xfId="0" builtinId="0"/>
    <cellStyle name="Normal 2" xfId="2" xr:uid="{00000000-0005-0000-0000-000001000000}"/>
    <cellStyle name="Normal 3" xfId="3" xr:uid="{00000000-0005-0000-0000-000002000000}"/>
    <cellStyle name="Normal 4" xfId="4" xr:uid="{6C28CD3B-03F2-4C06-A745-2AD409B492EE}"/>
    <cellStyle name="Normal 5" xfId="5" xr:uid="{750F6277-AD0A-4D4B-81DA-7F52A528EBA4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I-FOU-MI\Dropbox\CFM_Comptabilit&#233;\Chi-Fou-Mi%20Productions\CHIFOUMI\CFM%20-%20BILANS\CFM%20-%20BILAN%202022\CFM%20-%20SOCIAL%202022\CFM%20-%20Bases%20sociales%20Bilan%202022.xlsx" TargetMode="External"/><Relationship Id="rId1" Type="http://schemas.openxmlformats.org/officeDocument/2006/relationships/externalLinkPath" Target="/Users/CHI-FOU-MI/Dropbox/CFM_Comptabilit&#233;/Chi-Fou-Mi%20Productions/CHIFOUMI/CFM%20-%20BILANS/CFM%20-%20BILAN%202022/CFM%20-%20SOCIAL%202022/CFM%20-%20Bases%20sociales%20Bilan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SES"/>
      <sheetName val="URSSAF"/>
      <sheetName val="AUDIENS"/>
      <sheetName val="CCHSCT-APPAV"/>
      <sheetName val="POLE EMPLOI"/>
      <sheetName val="AUTRES"/>
    </sheetNames>
    <sheetDataSet>
      <sheetData sheetId="0">
        <row r="7">
          <cell r="C7">
            <v>811583.71</v>
          </cell>
        </row>
        <row r="24">
          <cell r="C24">
            <v>815242.00000000012</v>
          </cell>
          <cell r="E24">
            <v>4984.8999999999996</v>
          </cell>
          <cell r="G24">
            <v>100791.72</v>
          </cell>
          <cell r="I24">
            <v>1795054.36</v>
          </cell>
          <cell r="K24">
            <v>-5123.96</v>
          </cell>
          <cell r="Q24">
            <v>0</v>
          </cell>
          <cell r="S24">
            <v>0</v>
          </cell>
        </row>
      </sheetData>
      <sheetData sheetId="1"/>
      <sheetData sheetId="2">
        <row r="61">
          <cell r="Q61">
            <v>2835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7"/>
  <sheetViews>
    <sheetView zoomScale="110" zoomScaleNormal="110" workbookViewId="0">
      <pane xSplit="2" ySplit="4" topLeftCell="G17" activePane="bottomRight" state="frozen"/>
      <selection pane="topRight" activeCell="C1" sqref="C1"/>
      <selection pane="bottomLeft" activeCell="A5" sqref="A5"/>
      <selection pane="bottomRight" activeCell="Q7" sqref="Q7"/>
    </sheetView>
  </sheetViews>
  <sheetFormatPr baseColWidth="10" defaultRowHeight="14.4" x14ac:dyDescent="0.3"/>
  <cols>
    <col min="1" max="1" width="32.6640625" customWidth="1"/>
    <col min="2" max="2" width="7.6640625" style="25" customWidth="1"/>
    <col min="3" max="3" width="9.6640625" style="10" customWidth="1"/>
    <col min="4" max="8" width="9.6640625" customWidth="1"/>
    <col min="9" max="9" width="10.21875" style="10" bestFit="1" customWidth="1"/>
    <col min="10" max="12" width="9.6640625" customWidth="1"/>
    <col min="13" max="13" width="9.88671875" bestFit="1" customWidth="1"/>
    <col min="14" max="16" width="9.6640625" customWidth="1"/>
    <col min="17" max="17" width="9.6640625" style="10" customWidth="1"/>
    <col min="18" max="18" width="9.6640625" customWidth="1"/>
    <col min="19" max="19" width="9.6640625" style="10" customWidth="1"/>
    <col min="20" max="20" width="9.6640625" customWidth="1"/>
    <col min="21" max="21" width="9.6640625" style="10" customWidth="1"/>
    <col min="22" max="23" width="9.6640625" customWidth="1"/>
    <col min="24" max="25" width="10.6640625" customWidth="1"/>
  </cols>
  <sheetData>
    <row r="1" spans="1:27" ht="18" x14ac:dyDescent="0.35">
      <c r="A1" s="7" t="s">
        <v>50</v>
      </c>
      <c r="B1" s="24"/>
    </row>
    <row r="3" spans="1:27" s="2" customFormat="1" ht="14.4" customHeight="1" x14ac:dyDescent="0.3">
      <c r="A3" s="180" t="s">
        <v>94</v>
      </c>
      <c r="B3" s="183" t="s">
        <v>26</v>
      </c>
      <c r="C3" s="176" t="s">
        <v>85</v>
      </c>
      <c r="D3" s="177"/>
      <c r="E3" s="176" t="s">
        <v>86</v>
      </c>
      <c r="F3" s="177"/>
      <c r="G3" s="176" t="s">
        <v>56</v>
      </c>
      <c r="H3" s="177"/>
      <c r="I3" s="178" t="s">
        <v>82</v>
      </c>
      <c r="J3" s="179"/>
      <c r="K3" s="176" t="s">
        <v>81</v>
      </c>
      <c r="L3" s="177"/>
      <c r="M3" s="178" t="s">
        <v>80</v>
      </c>
      <c r="N3" s="179"/>
      <c r="O3" s="176" t="s">
        <v>75</v>
      </c>
      <c r="P3" s="177"/>
      <c r="Q3" s="176" t="s">
        <v>69</v>
      </c>
      <c r="R3" s="177"/>
      <c r="S3" s="176" t="s">
        <v>68</v>
      </c>
      <c r="T3" s="177"/>
      <c r="U3" s="176" t="s">
        <v>53</v>
      </c>
      <c r="V3" s="177"/>
      <c r="W3" s="187" t="s">
        <v>0</v>
      </c>
    </row>
    <row r="4" spans="1:27" s="110" customFormat="1" ht="12" x14ac:dyDescent="0.25">
      <c r="A4" s="181"/>
      <c r="B4" s="184"/>
      <c r="C4" s="125" t="s">
        <v>23</v>
      </c>
      <c r="D4" s="126" t="s">
        <v>24</v>
      </c>
      <c r="E4" s="125" t="s">
        <v>23</v>
      </c>
      <c r="F4" s="126" t="s">
        <v>24</v>
      </c>
      <c r="G4" s="125" t="s">
        <v>23</v>
      </c>
      <c r="H4" s="126" t="s">
        <v>24</v>
      </c>
      <c r="I4" s="125" t="s">
        <v>23</v>
      </c>
      <c r="J4" s="126" t="s">
        <v>24</v>
      </c>
      <c r="K4" s="125" t="s">
        <v>23</v>
      </c>
      <c r="L4" s="126" t="s">
        <v>24</v>
      </c>
      <c r="M4" s="125" t="s">
        <v>23</v>
      </c>
      <c r="N4" s="126" t="s">
        <v>24</v>
      </c>
      <c r="O4" s="125" t="s">
        <v>23</v>
      </c>
      <c r="P4" s="126" t="s">
        <v>24</v>
      </c>
      <c r="Q4" s="125" t="s">
        <v>23</v>
      </c>
      <c r="R4" s="126" t="s">
        <v>24</v>
      </c>
      <c r="S4" s="125" t="s">
        <v>23</v>
      </c>
      <c r="T4" s="126" t="s">
        <v>24</v>
      </c>
      <c r="U4" s="125" t="s">
        <v>23</v>
      </c>
      <c r="V4" s="126" t="s">
        <v>24</v>
      </c>
      <c r="W4" s="188"/>
    </row>
    <row r="5" spans="1:27" s="25" customFormat="1" x14ac:dyDescent="0.3">
      <c r="A5" s="111"/>
      <c r="B5" s="107"/>
      <c r="C5" s="85"/>
      <c r="D5" s="85"/>
      <c r="E5" s="85"/>
      <c r="F5" s="85"/>
      <c r="G5" s="85"/>
      <c r="H5" s="85"/>
      <c r="I5" s="124"/>
      <c r="J5" s="124"/>
      <c r="K5" s="85"/>
      <c r="L5" s="85"/>
      <c r="M5" s="85"/>
      <c r="N5" s="85"/>
      <c r="O5" s="85"/>
      <c r="P5" s="85"/>
      <c r="Q5" s="124"/>
      <c r="R5" s="124"/>
      <c r="S5" s="124"/>
      <c r="T5" s="124"/>
      <c r="U5" s="124"/>
      <c r="V5" s="124"/>
      <c r="W5" s="26"/>
      <c r="X5" s="186" t="s">
        <v>40</v>
      </c>
      <c r="Y5" s="186" t="s">
        <v>7</v>
      </c>
    </row>
    <row r="6" spans="1:27" ht="14.4" customHeight="1" x14ac:dyDescent="0.3">
      <c r="A6" s="112" t="s">
        <v>21</v>
      </c>
      <c r="B6" s="106"/>
      <c r="C6" s="85"/>
      <c r="D6" s="85"/>
      <c r="E6" s="85"/>
      <c r="F6" s="85"/>
      <c r="G6" s="85"/>
      <c r="H6" s="85"/>
      <c r="I6" s="27"/>
      <c r="J6" s="27"/>
      <c r="K6" s="85"/>
      <c r="L6" s="85"/>
      <c r="M6" s="85"/>
      <c r="N6" s="85"/>
      <c r="O6" s="85"/>
      <c r="P6" s="85"/>
      <c r="Q6" s="27"/>
      <c r="R6" s="27"/>
      <c r="S6" s="27"/>
      <c r="T6" s="27"/>
      <c r="U6" s="27"/>
      <c r="V6" s="27"/>
      <c r="W6" s="5"/>
      <c r="X6" s="186"/>
      <c r="Y6" s="186"/>
    </row>
    <row r="7" spans="1:27" x14ac:dyDescent="0.3">
      <c r="A7" s="113" t="s">
        <v>22</v>
      </c>
      <c r="B7" s="107"/>
      <c r="C7" s="27">
        <f>(1475240.89-11000-22922.54-104500-33000)-C8</f>
        <v>1290829.42</v>
      </c>
      <c r="D7" s="85"/>
      <c r="E7" s="27">
        <v>7850</v>
      </c>
      <c r="F7" s="27"/>
      <c r="G7" s="27">
        <f>114434.17-46200-31900-21450</f>
        <v>14884.169999999998</v>
      </c>
      <c r="H7" s="27"/>
      <c r="I7" s="27">
        <f>1074170.35-I8</f>
        <v>1072484.9500000002</v>
      </c>
      <c r="J7" s="27"/>
      <c r="K7" s="27">
        <f>974130.16-K8</f>
        <v>971011.66</v>
      </c>
      <c r="L7" s="27"/>
      <c r="M7" s="27">
        <f>2628357.45-M8</f>
        <v>2621430.75</v>
      </c>
      <c r="N7" s="27"/>
      <c r="O7" s="27">
        <f>1509295.82-197260.8</f>
        <v>1312035.02</v>
      </c>
      <c r="P7" s="27"/>
      <c r="Q7" s="27">
        <v>199639.61</v>
      </c>
      <c r="R7" s="27"/>
      <c r="S7" s="27">
        <f>233701.51-136400</f>
        <v>97301.510000000009</v>
      </c>
      <c r="T7" s="27"/>
      <c r="U7" s="27">
        <v>77975.899999999994</v>
      </c>
      <c r="V7" s="27"/>
      <c r="W7" s="9">
        <f>SUM(C7:V7)</f>
        <v>7665442.9900000012</v>
      </c>
      <c r="X7" s="185">
        <f>1312033+14885+199641+974118+1074167+1303817+7850+97304+77977+2628337</f>
        <v>7690129</v>
      </c>
      <c r="Y7" s="182">
        <f>+X7-W7-W8</f>
        <v>-33.520000001157314</v>
      </c>
      <c r="Z7" s="182"/>
    </row>
    <row r="8" spans="1:27" x14ac:dyDescent="0.3">
      <c r="A8" s="113" t="s">
        <v>31</v>
      </c>
      <c r="B8" s="107"/>
      <c r="C8" s="27">
        <f>5543.18+3873.65+3572.1</f>
        <v>12988.93</v>
      </c>
      <c r="D8" s="85"/>
      <c r="E8" s="27">
        <v>0</v>
      </c>
      <c r="F8" s="27"/>
      <c r="G8" s="27">
        <v>0</v>
      </c>
      <c r="H8" s="27"/>
      <c r="I8" s="27">
        <v>1685.4</v>
      </c>
      <c r="J8" s="27"/>
      <c r="K8" s="27">
        <v>3118.5</v>
      </c>
      <c r="L8" s="27"/>
      <c r="M8" s="27">
        <v>6926.7</v>
      </c>
      <c r="N8" s="27"/>
      <c r="O8" s="27">
        <v>0</v>
      </c>
      <c r="P8" s="27"/>
      <c r="Q8" s="27">
        <v>0</v>
      </c>
      <c r="R8" s="27"/>
      <c r="S8" s="27">
        <v>0</v>
      </c>
      <c r="T8" s="27"/>
      <c r="U8" s="27">
        <v>0</v>
      </c>
      <c r="V8" s="27"/>
      <c r="W8" s="9">
        <f>SUM(C8:V8)</f>
        <v>24719.530000000002</v>
      </c>
      <c r="X8" s="185"/>
      <c r="Y8" s="182"/>
      <c r="Z8" s="182"/>
      <c r="AA8" s="10"/>
    </row>
    <row r="9" spans="1:27" x14ac:dyDescent="0.3">
      <c r="A9" s="113" t="s">
        <v>60</v>
      </c>
      <c r="B9" s="107"/>
      <c r="C9" s="85"/>
      <c r="D9" s="27">
        <f>15000+141.4+1176.5+216.07+269.04+183.31-1031.7</f>
        <v>15954.620000000003</v>
      </c>
      <c r="E9" s="27"/>
      <c r="F9" s="27">
        <v>0</v>
      </c>
      <c r="G9" s="27"/>
      <c r="H9" s="27">
        <v>581.13</v>
      </c>
      <c r="I9" s="27"/>
      <c r="J9" s="152">
        <f>48257.2+9570.61+2446.87</f>
        <v>60274.68</v>
      </c>
      <c r="K9" s="27"/>
      <c r="L9" s="27">
        <f>95420+4221.79+2342</f>
        <v>101983.79</v>
      </c>
      <c r="M9" s="27"/>
      <c r="N9" s="27">
        <f>180590+210.85+19982.83+17526.5</f>
        <v>218310.18</v>
      </c>
      <c r="O9" s="27"/>
      <c r="P9" s="27">
        <f>70222.6+6145.92+10792.5</f>
        <v>87161.02</v>
      </c>
      <c r="Q9" s="27"/>
      <c r="R9" s="27">
        <f>7740</f>
        <v>7740</v>
      </c>
      <c r="S9" s="27"/>
      <c r="T9" s="27">
        <v>0</v>
      </c>
      <c r="U9" s="27"/>
      <c r="V9" s="27">
        <v>2832.4</v>
      </c>
      <c r="W9" s="9">
        <f>SUM(C9:V9)</f>
        <v>494837.82000000007</v>
      </c>
      <c r="Y9" t="s">
        <v>39</v>
      </c>
    </row>
    <row r="10" spans="1:27" x14ac:dyDescent="0.3">
      <c r="A10" s="114"/>
      <c r="B10" s="108"/>
      <c r="C10" s="86"/>
      <c r="D10" s="86"/>
      <c r="E10" s="86"/>
      <c r="F10" s="86"/>
      <c r="G10" s="86"/>
      <c r="H10" s="86"/>
      <c r="I10" s="28"/>
      <c r="J10" s="28"/>
      <c r="K10" s="86"/>
      <c r="L10" s="86"/>
      <c r="M10" s="86"/>
      <c r="N10" s="86"/>
      <c r="O10" s="86"/>
      <c r="P10" s="86"/>
      <c r="Q10" s="28"/>
      <c r="R10" s="28"/>
      <c r="S10" s="28"/>
      <c r="T10" s="28"/>
      <c r="U10" s="28"/>
      <c r="V10" s="28"/>
      <c r="W10" s="6"/>
    </row>
    <row r="11" spans="1:27" x14ac:dyDescent="0.3">
      <c r="A11" s="5"/>
      <c r="B11" s="106"/>
      <c r="C11" s="27"/>
      <c r="D11" s="85"/>
      <c r="E11" s="85"/>
      <c r="F11" s="85"/>
      <c r="G11" s="85"/>
      <c r="H11" s="85"/>
      <c r="I11" s="27"/>
      <c r="J11" s="27"/>
      <c r="K11" s="85"/>
      <c r="L11" s="85"/>
      <c r="M11" s="85"/>
      <c r="N11" s="85"/>
      <c r="O11" s="85"/>
      <c r="P11" s="85"/>
      <c r="Q11" s="27"/>
      <c r="R11" s="27"/>
      <c r="S11" s="27"/>
      <c r="T11" s="27"/>
      <c r="U11" s="27"/>
      <c r="V11" s="27"/>
      <c r="W11" s="5"/>
    </row>
    <row r="12" spans="1:27" x14ac:dyDescent="0.3">
      <c r="A12" s="115" t="s">
        <v>20</v>
      </c>
      <c r="B12" s="106"/>
      <c r="C12" s="27"/>
      <c r="D12" s="85"/>
      <c r="E12" s="85"/>
      <c r="F12" s="85"/>
      <c r="G12" s="85"/>
      <c r="H12" s="85"/>
      <c r="I12" s="27"/>
      <c r="J12" s="27"/>
      <c r="K12" s="85"/>
      <c r="L12" s="85"/>
      <c r="M12" s="85"/>
      <c r="N12" s="85"/>
      <c r="O12" s="85"/>
      <c r="P12" s="85"/>
      <c r="Q12" s="27"/>
      <c r="R12" s="27"/>
      <c r="S12" s="27"/>
      <c r="T12" s="27"/>
      <c r="U12" s="27"/>
      <c r="V12" s="27"/>
      <c r="W12" s="5"/>
    </row>
    <row r="13" spans="1:27" x14ac:dyDescent="0.3">
      <c r="A13" s="5" t="s">
        <v>51</v>
      </c>
      <c r="B13" s="107">
        <v>641100</v>
      </c>
      <c r="C13" s="27">
        <f>925809.52-C16</f>
        <v>912820.59</v>
      </c>
      <c r="D13" s="85"/>
      <c r="E13" s="85"/>
      <c r="F13" s="85"/>
      <c r="G13" s="85"/>
      <c r="H13" s="85"/>
      <c r="I13" s="27"/>
      <c r="J13" s="27"/>
      <c r="K13" s="85"/>
      <c r="L13" s="85"/>
      <c r="M13" s="85"/>
      <c r="N13" s="85"/>
      <c r="O13" s="85"/>
      <c r="P13" s="85"/>
      <c r="Q13" s="27"/>
      <c r="R13" s="27"/>
      <c r="S13" s="27"/>
      <c r="T13" s="27"/>
      <c r="U13" s="27"/>
      <c r="V13" s="27"/>
      <c r="W13" s="9">
        <f t="shared" ref="W13:W22" si="0">SUM(C13:V13)</f>
        <v>912820.59</v>
      </c>
    </row>
    <row r="14" spans="1:27" x14ac:dyDescent="0.3">
      <c r="A14" s="5" t="s">
        <v>27</v>
      </c>
      <c r="B14" s="107" t="s">
        <v>54</v>
      </c>
      <c r="C14" s="27">
        <f>60788.2+2678.64+85925.24-C17-C19</f>
        <v>149358.48000000001</v>
      </c>
      <c r="D14" s="85"/>
      <c r="E14" s="27">
        <v>7850</v>
      </c>
      <c r="F14" s="27"/>
      <c r="G14" s="27">
        <v>14884.17</v>
      </c>
      <c r="H14" s="27"/>
      <c r="I14" s="27">
        <v>1049757.55</v>
      </c>
      <c r="J14" s="27"/>
      <c r="K14" s="27">
        <v>1095545.3500000001</v>
      </c>
      <c r="L14" s="27"/>
      <c r="M14" s="27">
        <f>2566238.36+57796.27</f>
        <v>2624034.63</v>
      </c>
      <c r="N14" s="27"/>
      <c r="O14" s="27">
        <v>1345437.87</v>
      </c>
      <c r="P14" s="27"/>
      <c r="Q14" s="27">
        <v>199639.61</v>
      </c>
      <c r="R14" s="27"/>
      <c r="S14" s="27">
        <v>97301.51</v>
      </c>
      <c r="T14" s="27"/>
      <c r="U14" s="27">
        <v>77975.899999999994</v>
      </c>
      <c r="V14" s="27"/>
      <c r="W14" s="9">
        <f t="shared" si="0"/>
        <v>6661785.0700000003</v>
      </c>
      <c r="X14" s="10"/>
    </row>
    <row r="15" spans="1:27" x14ac:dyDescent="0.3">
      <c r="A15" s="5" t="s">
        <v>43</v>
      </c>
      <c r="B15" s="107" t="s">
        <v>54</v>
      </c>
      <c r="C15" s="27">
        <f>124210.64+46609.84+57796.27</f>
        <v>228616.74999999997</v>
      </c>
      <c r="D15" s="85"/>
      <c r="E15" s="27">
        <v>0</v>
      </c>
      <c r="F15" s="27"/>
      <c r="G15" s="27">
        <v>0</v>
      </c>
      <c r="H15" s="27"/>
      <c r="I15" s="27">
        <v>0</v>
      </c>
      <c r="J15" s="27"/>
      <c r="K15" s="27">
        <v>-124210.64</v>
      </c>
      <c r="L15" s="27"/>
      <c r="M15" s="27">
        <v>-57796.27</v>
      </c>
      <c r="N15" s="27"/>
      <c r="O15" s="27">
        <v>-46609.84</v>
      </c>
      <c r="P15" s="27"/>
      <c r="Q15" s="27">
        <v>0</v>
      </c>
      <c r="R15" s="27"/>
      <c r="S15" s="27">
        <v>0</v>
      </c>
      <c r="T15" s="27"/>
      <c r="U15" s="27">
        <v>0</v>
      </c>
      <c r="V15" s="27"/>
      <c r="W15" s="9">
        <f t="shared" si="0"/>
        <v>-2.1827872842550278E-11</v>
      </c>
    </row>
    <row r="16" spans="1:27" x14ac:dyDescent="0.3">
      <c r="A16" s="5" t="s">
        <v>57</v>
      </c>
      <c r="B16" s="107">
        <v>641300</v>
      </c>
      <c r="C16" s="27">
        <v>12988.93</v>
      </c>
      <c r="D16" s="85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9">
        <f t="shared" si="0"/>
        <v>12988.93</v>
      </c>
    </row>
    <row r="17" spans="1:26" x14ac:dyDescent="0.3">
      <c r="A17" s="5" t="s">
        <v>58</v>
      </c>
      <c r="B17" s="107" t="s">
        <v>59</v>
      </c>
      <c r="C17" s="27">
        <v>0</v>
      </c>
      <c r="D17" s="85"/>
      <c r="E17" s="27">
        <v>0</v>
      </c>
      <c r="F17" s="27"/>
      <c r="G17" s="27">
        <v>0</v>
      </c>
      <c r="H17" s="27"/>
      <c r="I17" s="27">
        <v>0</v>
      </c>
      <c r="J17" s="27"/>
      <c r="K17" s="27">
        <v>0</v>
      </c>
      <c r="L17" s="27"/>
      <c r="M17" s="27">
        <v>0</v>
      </c>
      <c r="N17" s="27"/>
      <c r="O17" s="27">
        <v>0</v>
      </c>
      <c r="P17" s="27"/>
      <c r="Q17" s="27">
        <v>0</v>
      </c>
      <c r="R17" s="27"/>
      <c r="S17" s="27">
        <v>0</v>
      </c>
      <c r="T17" s="27"/>
      <c r="U17" s="27">
        <v>0</v>
      </c>
      <c r="V17" s="27"/>
      <c r="W17" s="9">
        <f t="shared" si="0"/>
        <v>0</v>
      </c>
    </row>
    <row r="18" spans="1:26" x14ac:dyDescent="0.3">
      <c r="A18" s="5" t="s">
        <v>42</v>
      </c>
      <c r="B18" s="107">
        <v>641400</v>
      </c>
      <c r="C18" s="27">
        <v>0</v>
      </c>
      <c r="D18" s="85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9">
        <f t="shared" si="0"/>
        <v>0</v>
      </c>
    </row>
    <row r="19" spans="1:26" x14ac:dyDescent="0.3">
      <c r="A19" s="5" t="s">
        <v>28</v>
      </c>
      <c r="B19" s="107" t="s">
        <v>41</v>
      </c>
      <c r="C19" s="27">
        <f>19.2+14.4</f>
        <v>33.6</v>
      </c>
      <c r="D19" s="85"/>
      <c r="E19" s="27">
        <v>0</v>
      </c>
      <c r="F19" s="27"/>
      <c r="G19" s="27">
        <v>0</v>
      </c>
      <c r="H19" s="27"/>
      <c r="I19" s="27">
        <v>24412.799999999999</v>
      </c>
      <c r="J19" s="27"/>
      <c r="K19" s="27">
        <v>2795.45</v>
      </c>
      <c r="L19" s="27"/>
      <c r="M19" s="27">
        <f>63799.09-1680</f>
        <v>62119.09</v>
      </c>
      <c r="N19" s="27"/>
      <c r="O19" s="27">
        <v>13207</v>
      </c>
      <c r="P19" s="27"/>
      <c r="Q19" s="27">
        <v>0</v>
      </c>
      <c r="R19" s="27"/>
      <c r="S19" s="27">
        <v>0</v>
      </c>
      <c r="T19" s="27"/>
      <c r="U19" s="27">
        <v>0</v>
      </c>
      <c r="V19" s="27"/>
      <c r="W19" s="9">
        <f t="shared" si="0"/>
        <v>102567.94</v>
      </c>
    </row>
    <row r="20" spans="1:26" x14ac:dyDescent="0.3">
      <c r="A20" s="5" t="s">
        <v>38</v>
      </c>
      <c r="B20" s="107">
        <v>641410</v>
      </c>
      <c r="C20" s="27"/>
      <c r="D20" s="27">
        <v>15000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9">
        <f t="shared" si="0"/>
        <v>15000</v>
      </c>
    </row>
    <row r="21" spans="1:26" x14ac:dyDescent="0.3">
      <c r="A21" s="5" t="s">
        <v>29</v>
      </c>
      <c r="B21" s="107" t="s">
        <v>52</v>
      </c>
      <c r="C21" s="27"/>
      <c r="D21" s="27">
        <f>269.04+216.07+183.31+144.8+141.4+1176.5</f>
        <v>2131.12</v>
      </c>
      <c r="E21" s="27"/>
      <c r="F21" s="27">
        <v>0</v>
      </c>
      <c r="G21" s="27"/>
      <c r="H21" s="27">
        <v>581.13</v>
      </c>
      <c r="I21" s="27"/>
      <c r="J21" s="27">
        <f>60274.68+2446.87</f>
        <v>62721.55</v>
      </c>
      <c r="K21" s="27"/>
      <c r="L21" s="27">
        <f>101983.8+2342.01</f>
        <v>104325.81</v>
      </c>
      <c r="M21" s="27"/>
      <c r="N21" s="27">
        <f>218310.21+17526.53</f>
        <v>235836.74</v>
      </c>
      <c r="O21" s="27"/>
      <c r="P21" s="27">
        <f>87161.21+1387</f>
        <v>88548.21</v>
      </c>
      <c r="Q21" s="27"/>
      <c r="R21" s="27">
        <v>7740</v>
      </c>
      <c r="S21" s="27"/>
      <c r="T21" s="27">
        <v>0</v>
      </c>
      <c r="U21" s="27"/>
      <c r="V21" s="27">
        <v>2832.4</v>
      </c>
      <c r="W21" s="9">
        <f t="shared" si="0"/>
        <v>504716.96</v>
      </c>
    </row>
    <row r="22" spans="1:26" x14ac:dyDescent="0.3">
      <c r="A22" s="5" t="s">
        <v>67</v>
      </c>
      <c r="B22" s="107" t="s">
        <v>52</v>
      </c>
      <c r="C22" s="27"/>
      <c r="D22" s="27">
        <v>-1176.5</v>
      </c>
      <c r="E22" s="27"/>
      <c r="F22" s="27">
        <v>0</v>
      </c>
      <c r="G22" s="27"/>
      <c r="H22" s="27">
        <v>0</v>
      </c>
      <c r="I22" s="27"/>
      <c r="J22" s="27">
        <v>-2446.87</v>
      </c>
      <c r="K22" s="27"/>
      <c r="L22" s="27">
        <f>-995-480-867.01</f>
        <v>-2342.0100000000002</v>
      </c>
      <c r="M22" s="27"/>
      <c r="N22" s="27">
        <f>-16494.83-1031.7</f>
        <v>-17526.530000000002</v>
      </c>
      <c r="O22" s="27"/>
      <c r="P22" s="27">
        <v>-1387</v>
      </c>
      <c r="Q22" s="27"/>
      <c r="R22" s="27">
        <v>0</v>
      </c>
      <c r="S22" s="27"/>
      <c r="T22" s="27">
        <v>0</v>
      </c>
      <c r="U22" s="27"/>
      <c r="V22" s="27">
        <v>0</v>
      </c>
      <c r="W22" s="9">
        <f t="shared" si="0"/>
        <v>-24878.910000000003</v>
      </c>
    </row>
    <row r="23" spans="1:26" x14ac:dyDescent="0.3">
      <c r="A23" s="5"/>
      <c r="B23" s="107"/>
      <c r="C23" s="27"/>
      <c r="D23" s="86"/>
      <c r="E23" s="86"/>
      <c r="F23" s="86"/>
      <c r="G23" s="86"/>
      <c r="H23" s="86"/>
      <c r="I23" s="28"/>
      <c r="J23" s="28"/>
      <c r="K23" s="86"/>
      <c r="L23" s="86"/>
      <c r="M23" s="86"/>
      <c r="N23" s="86"/>
      <c r="O23" s="86"/>
      <c r="P23" s="86"/>
      <c r="Q23" s="28"/>
      <c r="R23" s="28"/>
      <c r="S23" s="28"/>
      <c r="T23" s="28"/>
      <c r="U23" s="28"/>
      <c r="V23" s="28"/>
      <c r="W23" s="6"/>
    </row>
    <row r="24" spans="1:26" x14ac:dyDescent="0.3">
      <c r="A24" s="6"/>
      <c r="B24" s="109"/>
      <c r="C24" s="87">
        <f>SUM(C13:C23)</f>
        <v>1303818.3500000001</v>
      </c>
      <c r="D24" s="87">
        <f t="shared" ref="D24:W24" si="1">SUM(D13:D23)</f>
        <v>15954.619999999999</v>
      </c>
      <c r="E24" s="87">
        <f t="shared" ref="E24:J24" si="2">SUM(E13:E23)</f>
        <v>7850</v>
      </c>
      <c r="F24" s="87">
        <f t="shared" si="2"/>
        <v>0</v>
      </c>
      <c r="G24" s="87">
        <f t="shared" si="2"/>
        <v>14884.17</v>
      </c>
      <c r="H24" s="87">
        <f t="shared" si="2"/>
        <v>581.13</v>
      </c>
      <c r="I24" s="28">
        <f t="shared" si="2"/>
        <v>1074170.3500000001</v>
      </c>
      <c r="J24" s="28">
        <f t="shared" si="2"/>
        <v>60274.68</v>
      </c>
      <c r="K24" s="28">
        <f t="shared" ref="K24:L24" si="3">SUM(K13:K23)</f>
        <v>974130.16</v>
      </c>
      <c r="L24" s="28">
        <f t="shared" si="3"/>
        <v>101983.8</v>
      </c>
      <c r="M24" s="28">
        <f>SUM(M13:M23)</f>
        <v>2628357.4499999997</v>
      </c>
      <c r="N24" s="28">
        <f>SUM(N13:N23)</f>
        <v>218310.21</v>
      </c>
      <c r="O24" s="28">
        <f t="shared" ref="O24:P24" si="4">SUM(O13:O23)</f>
        <v>1312035.03</v>
      </c>
      <c r="P24" s="28">
        <f t="shared" si="4"/>
        <v>87161.21</v>
      </c>
      <c r="Q24" s="28">
        <f t="shared" ref="Q24:R24" si="5">SUM(Q13:Q23)</f>
        <v>199639.61</v>
      </c>
      <c r="R24" s="28">
        <f t="shared" si="5"/>
        <v>7740</v>
      </c>
      <c r="S24" s="28">
        <f t="shared" ref="S24:T24" si="6">SUM(S13:S23)</f>
        <v>97301.51</v>
      </c>
      <c r="T24" s="28">
        <f t="shared" si="6"/>
        <v>0</v>
      </c>
      <c r="U24" s="28">
        <f t="shared" ref="U24:V24" si="7">SUM(U13:U23)</f>
        <v>77975.899999999994</v>
      </c>
      <c r="V24" s="28">
        <f t="shared" si="7"/>
        <v>2832.4</v>
      </c>
      <c r="W24" s="28">
        <f t="shared" si="1"/>
        <v>8185000.5800000001</v>
      </c>
      <c r="Y24" s="10"/>
    </row>
    <row r="25" spans="1:26" x14ac:dyDescent="0.3">
      <c r="A25" s="114" t="s">
        <v>25</v>
      </c>
      <c r="B25" s="108"/>
      <c r="C25" s="28">
        <f t="shared" ref="C25:D25" si="8">SUM(C5:C10)-C24</f>
        <v>0</v>
      </c>
      <c r="D25" s="28">
        <f t="shared" si="8"/>
        <v>0</v>
      </c>
      <c r="E25" s="28">
        <f t="shared" ref="E25:H25" si="9">SUM(E5:E10)-E24</f>
        <v>0</v>
      </c>
      <c r="F25" s="28">
        <f t="shared" si="9"/>
        <v>0</v>
      </c>
      <c r="G25" s="28">
        <f t="shared" si="9"/>
        <v>0</v>
      </c>
      <c r="H25" s="28">
        <f t="shared" si="9"/>
        <v>0</v>
      </c>
      <c r="I25" s="28">
        <f t="shared" ref="I25:J25" si="10">SUM(I5:I10)-I24</f>
        <v>0</v>
      </c>
      <c r="J25" s="28">
        <f t="shared" si="10"/>
        <v>0</v>
      </c>
      <c r="K25" s="28">
        <f t="shared" ref="K25:L25" si="11">SUM(K5:K10)-K24</f>
        <v>0</v>
      </c>
      <c r="L25" s="28">
        <f t="shared" si="11"/>
        <v>-1.0000000009313226E-2</v>
      </c>
      <c r="M25" s="28">
        <f>SUM(M5:M10)-M24</f>
        <v>0</v>
      </c>
      <c r="N25" s="28">
        <f>SUM(N5:N10)-N24</f>
        <v>-2.9999999998835847E-2</v>
      </c>
      <c r="O25" s="28">
        <f t="shared" ref="O25:P25" si="12">SUM(O5:O10)-O24</f>
        <v>-1.0000000009313226E-2</v>
      </c>
      <c r="P25" s="28">
        <f t="shared" si="12"/>
        <v>-0.19000000000232831</v>
      </c>
      <c r="Q25" s="28">
        <f t="shared" ref="Q25:R25" si="13">SUM(Q5:Q10)-Q24</f>
        <v>0</v>
      </c>
      <c r="R25" s="28">
        <f t="shared" si="13"/>
        <v>0</v>
      </c>
      <c r="S25" s="28">
        <f t="shared" ref="S25:T25" si="14">SUM(S5:S10)-S24</f>
        <v>0</v>
      </c>
      <c r="T25" s="28">
        <f t="shared" si="14"/>
        <v>0</v>
      </c>
      <c r="U25" s="28">
        <f t="shared" ref="U25:V25" si="15">SUM(U5:U10)-U24</f>
        <v>0</v>
      </c>
      <c r="V25" s="28">
        <f t="shared" si="15"/>
        <v>0</v>
      </c>
      <c r="W25" s="93">
        <f>SUM(C25:H25)</f>
        <v>0</v>
      </c>
    </row>
    <row r="26" spans="1:26" x14ac:dyDescent="0.3">
      <c r="B26" s="72"/>
      <c r="C26" s="81"/>
      <c r="D26" s="82"/>
      <c r="E26" s="82"/>
      <c r="F26" s="82"/>
      <c r="G26" s="82"/>
      <c r="H26" s="82"/>
      <c r="J26" s="152"/>
      <c r="K26" s="82"/>
      <c r="L26" s="82"/>
      <c r="M26" s="82"/>
      <c r="N26" s="82"/>
      <c r="O26" s="82"/>
      <c r="P26" s="82"/>
      <c r="R26" s="60"/>
      <c r="T26" s="60"/>
      <c r="V26" s="60"/>
    </row>
    <row r="27" spans="1:26" x14ac:dyDescent="0.3">
      <c r="A27" s="116" t="s">
        <v>30</v>
      </c>
      <c r="B27" s="117">
        <v>641100</v>
      </c>
      <c r="C27" s="118">
        <f>+C13</f>
        <v>912820.59</v>
      </c>
      <c r="D27" s="119"/>
      <c r="E27" s="120"/>
      <c r="F27" s="121"/>
      <c r="G27" s="120"/>
      <c r="H27" s="121"/>
      <c r="I27" s="120"/>
      <c r="J27" s="121"/>
      <c r="K27" s="120"/>
      <c r="L27" s="121"/>
      <c r="M27" s="120"/>
      <c r="N27" s="121"/>
      <c r="O27" s="120"/>
      <c r="P27" s="121"/>
      <c r="Q27" s="120"/>
      <c r="R27" s="121"/>
      <c r="S27" s="120"/>
      <c r="T27" s="121"/>
      <c r="U27" s="120"/>
      <c r="V27" s="121"/>
      <c r="W27" s="122">
        <f t="shared" ref="W27:W34" si="16">SUM(C27:V27)</f>
        <v>912820.59</v>
      </c>
      <c r="X27" t="s">
        <v>32</v>
      </c>
    </row>
    <row r="28" spans="1:26" x14ac:dyDescent="0.3">
      <c r="A28" s="113"/>
      <c r="B28" s="107" t="s">
        <v>54</v>
      </c>
      <c r="C28" s="27">
        <f>+C14+C15</f>
        <v>377975.23</v>
      </c>
      <c r="D28" s="88"/>
      <c r="E28" s="10">
        <f>+E14+E15</f>
        <v>7850</v>
      </c>
      <c r="F28" s="5"/>
      <c r="G28" s="10">
        <f>+G14+G15</f>
        <v>14884.17</v>
      </c>
      <c r="H28" s="5"/>
      <c r="I28" s="10">
        <f>+I14+I15</f>
        <v>1049757.55</v>
      </c>
      <c r="J28" s="5"/>
      <c r="K28" s="10">
        <f>+K14+K15</f>
        <v>971334.71000000008</v>
      </c>
      <c r="L28" s="5"/>
      <c r="M28" s="10">
        <f>+M14+M15</f>
        <v>2566238.36</v>
      </c>
      <c r="N28" s="5"/>
      <c r="O28" s="10">
        <f>+O14+O15</f>
        <v>1298828.03</v>
      </c>
      <c r="P28" s="5"/>
      <c r="Q28" s="10">
        <f>+Q14+Q15</f>
        <v>199639.61</v>
      </c>
      <c r="R28" s="5"/>
      <c r="S28" s="10">
        <f>+S14+S15</f>
        <v>97301.51</v>
      </c>
      <c r="T28" s="5"/>
      <c r="U28" s="10">
        <f>+U14+U15</f>
        <v>77975.899999999994</v>
      </c>
      <c r="V28" s="5"/>
      <c r="W28" s="9">
        <f t="shared" si="16"/>
        <v>6661785.0700000003</v>
      </c>
      <c r="X28" t="s">
        <v>32</v>
      </c>
      <c r="Z28" s="10"/>
    </row>
    <row r="29" spans="1:26" x14ac:dyDescent="0.3">
      <c r="A29" s="113"/>
      <c r="B29" s="107">
        <v>641300</v>
      </c>
      <c r="C29" s="27">
        <f>+C16</f>
        <v>12988.93</v>
      </c>
      <c r="D29" s="88"/>
      <c r="E29" s="10"/>
      <c r="F29" s="5"/>
      <c r="G29" s="10"/>
      <c r="H29" s="5"/>
      <c r="J29" s="5"/>
      <c r="K29" s="10"/>
      <c r="L29" s="5"/>
      <c r="M29" s="10"/>
      <c r="N29" s="5"/>
      <c r="O29" s="10"/>
      <c r="P29" s="5"/>
      <c r="R29" s="5"/>
      <c r="T29" s="5"/>
      <c r="V29" s="5"/>
      <c r="W29" s="9">
        <f t="shared" si="16"/>
        <v>12988.93</v>
      </c>
      <c r="X29" t="s">
        <v>32</v>
      </c>
    </row>
    <row r="30" spans="1:26" x14ac:dyDescent="0.3">
      <c r="A30" s="113"/>
      <c r="B30" s="107" t="s">
        <v>59</v>
      </c>
      <c r="C30" s="27">
        <f>+C17</f>
        <v>0</v>
      </c>
      <c r="D30" s="88"/>
      <c r="E30" s="10">
        <f>+E17</f>
        <v>0</v>
      </c>
      <c r="F30" s="5"/>
      <c r="G30" s="10">
        <f>+G17</f>
        <v>0</v>
      </c>
      <c r="H30" s="5"/>
      <c r="I30" s="10">
        <f>+I17</f>
        <v>0</v>
      </c>
      <c r="J30" s="5"/>
      <c r="K30" s="10">
        <f>+K17</f>
        <v>0</v>
      </c>
      <c r="L30" s="5"/>
      <c r="M30" s="10">
        <f>+M17</f>
        <v>0</v>
      </c>
      <c r="N30" s="5"/>
      <c r="O30" s="10">
        <f>+O17</f>
        <v>0</v>
      </c>
      <c r="P30" s="5"/>
      <c r="Q30" s="10">
        <f>+Q17</f>
        <v>0</v>
      </c>
      <c r="R30" s="5"/>
      <c r="S30" s="10">
        <f>+S17</f>
        <v>0</v>
      </c>
      <c r="T30" s="5"/>
      <c r="U30" s="10">
        <f>+U17</f>
        <v>0</v>
      </c>
      <c r="V30" s="5"/>
      <c r="W30" s="9">
        <f t="shared" si="16"/>
        <v>0</v>
      </c>
      <c r="X30" t="s">
        <v>32</v>
      </c>
    </row>
    <row r="31" spans="1:26" x14ac:dyDescent="0.3">
      <c r="A31" s="113"/>
      <c r="B31" s="107">
        <v>641400</v>
      </c>
      <c r="C31" s="27">
        <f>+C18</f>
        <v>0</v>
      </c>
      <c r="D31" s="88"/>
      <c r="E31" s="10"/>
      <c r="F31" s="5"/>
      <c r="G31" s="10"/>
      <c r="H31" s="5"/>
      <c r="J31" s="5"/>
      <c r="K31" s="10"/>
      <c r="L31" s="5"/>
      <c r="M31" s="10"/>
      <c r="N31" s="5"/>
      <c r="O31" s="10"/>
      <c r="P31" s="5"/>
      <c r="R31" s="5"/>
      <c r="T31" s="5"/>
      <c r="V31" s="5"/>
      <c r="W31" s="9">
        <f t="shared" si="16"/>
        <v>0</v>
      </c>
      <c r="X31" t="s">
        <v>32</v>
      </c>
    </row>
    <row r="32" spans="1:26" x14ac:dyDescent="0.3">
      <c r="A32" s="113"/>
      <c r="B32" s="107" t="s">
        <v>41</v>
      </c>
      <c r="C32" s="27">
        <f>+C19</f>
        <v>33.6</v>
      </c>
      <c r="D32" s="88"/>
      <c r="E32" s="10">
        <f>+E19</f>
        <v>0</v>
      </c>
      <c r="F32" s="5"/>
      <c r="G32" s="10">
        <f>+G19</f>
        <v>0</v>
      </c>
      <c r="H32" s="5"/>
      <c r="I32" s="10">
        <f>+I19</f>
        <v>24412.799999999999</v>
      </c>
      <c r="J32" s="5"/>
      <c r="K32" s="10">
        <f>+K19</f>
        <v>2795.45</v>
      </c>
      <c r="L32" s="5"/>
      <c r="M32" s="10">
        <f>+M19</f>
        <v>62119.09</v>
      </c>
      <c r="N32" s="5"/>
      <c r="O32" s="10">
        <f>+O19</f>
        <v>13207</v>
      </c>
      <c r="P32" s="5"/>
      <c r="Q32" s="10">
        <f>+Q19</f>
        <v>0</v>
      </c>
      <c r="R32" s="5"/>
      <c r="S32" s="10">
        <f>+S19</f>
        <v>0</v>
      </c>
      <c r="T32" s="5"/>
      <c r="U32" s="10">
        <f>+U19</f>
        <v>0</v>
      </c>
      <c r="V32" s="5"/>
      <c r="W32" s="9">
        <f t="shared" si="16"/>
        <v>102567.94</v>
      </c>
      <c r="X32" t="s">
        <v>32</v>
      </c>
    </row>
    <row r="33" spans="1:26" x14ac:dyDescent="0.3">
      <c r="A33" s="113"/>
      <c r="B33" s="107">
        <v>641410</v>
      </c>
      <c r="C33" s="27"/>
      <c r="D33" s="27">
        <f>+D20</f>
        <v>15000</v>
      </c>
      <c r="E33" s="10"/>
      <c r="F33" s="5"/>
      <c r="G33" s="10"/>
      <c r="H33" s="5"/>
      <c r="J33" s="5"/>
      <c r="K33" s="10"/>
      <c r="L33" s="5"/>
      <c r="M33" s="10"/>
      <c r="N33" s="5"/>
      <c r="O33" s="10"/>
      <c r="P33" s="5"/>
      <c r="R33" s="5"/>
      <c r="T33" s="5"/>
      <c r="V33" s="5"/>
      <c r="W33" s="9">
        <f t="shared" si="16"/>
        <v>15000</v>
      </c>
      <c r="X33" t="s">
        <v>32</v>
      </c>
    </row>
    <row r="34" spans="1:26" x14ac:dyDescent="0.3">
      <c r="A34" s="114"/>
      <c r="B34" s="108" t="s">
        <v>52</v>
      </c>
      <c r="C34" s="28"/>
      <c r="D34" s="28">
        <f>+D21+D22</f>
        <v>954.61999999999989</v>
      </c>
      <c r="E34" s="12"/>
      <c r="F34" s="28">
        <f>+F21+F22</f>
        <v>0</v>
      </c>
      <c r="G34" s="12"/>
      <c r="H34" s="28">
        <f>+H21+H22</f>
        <v>581.13</v>
      </c>
      <c r="I34" s="12"/>
      <c r="J34" s="28">
        <f>+J21+J22</f>
        <v>60274.68</v>
      </c>
      <c r="K34" s="12"/>
      <c r="L34" s="28">
        <f>+L21+L22</f>
        <v>101983.8</v>
      </c>
      <c r="M34" s="12"/>
      <c r="N34" s="28">
        <f>+N21+N22</f>
        <v>218310.21</v>
      </c>
      <c r="O34" s="12"/>
      <c r="P34" s="28">
        <f>+P21+P22</f>
        <v>87161.21</v>
      </c>
      <c r="Q34" s="12"/>
      <c r="R34" s="28">
        <f>+R21+R22</f>
        <v>7740</v>
      </c>
      <c r="S34" s="12"/>
      <c r="T34" s="28">
        <f>+T21+T22</f>
        <v>0</v>
      </c>
      <c r="U34" s="12"/>
      <c r="V34" s="28">
        <f>+V21+V22</f>
        <v>2832.4</v>
      </c>
      <c r="W34" s="123">
        <f t="shared" si="16"/>
        <v>479838.05000000005</v>
      </c>
      <c r="X34" t="s">
        <v>32</v>
      </c>
      <c r="Y34" s="155"/>
      <c r="Z34" s="10"/>
    </row>
    <row r="35" spans="1:26" x14ac:dyDescent="0.3">
      <c r="C35" s="81"/>
      <c r="D35" s="82"/>
      <c r="E35" s="82"/>
      <c r="F35" s="82"/>
      <c r="G35" s="82"/>
      <c r="H35" s="82"/>
      <c r="K35" s="82"/>
      <c r="L35" s="82"/>
      <c r="M35" s="82"/>
      <c r="N35" s="82"/>
      <c r="O35" s="82"/>
      <c r="P35" s="82"/>
    </row>
    <row r="36" spans="1:26" x14ac:dyDescent="0.3">
      <c r="C36" s="81"/>
      <c r="D36" s="153"/>
      <c r="E36" s="82"/>
      <c r="F36" s="82"/>
      <c r="G36" s="82"/>
      <c r="H36" s="82"/>
      <c r="K36" s="82"/>
      <c r="L36" s="82"/>
      <c r="M36" s="82"/>
      <c r="N36" s="82"/>
      <c r="O36" s="82"/>
      <c r="P36" s="82"/>
      <c r="W36" s="10"/>
    </row>
    <row r="37" spans="1:26" x14ac:dyDescent="0.3">
      <c r="C37" s="81"/>
      <c r="D37" s="82"/>
      <c r="E37" s="82"/>
      <c r="F37" s="82"/>
      <c r="G37" s="82"/>
      <c r="H37" s="82"/>
      <c r="K37" s="82"/>
      <c r="L37" s="82"/>
      <c r="M37" s="82"/>
      <c r="N37" s="82"/>
      <c r="O37" s="82"/>
      <c r="P37" s="82"/>
      <c r="W37" s="10"/>
    </row>
    <row r="38" spans="1:26" x14ac:dyDescent="0.3">
      <c r="C38" s="81"/>
      <c r="D38" s="82"/>
      <c r="E38" s="82"/>
      <c r="F38" s="82"/>
      <c r="G38" s="82"/>
      <c r="H38" s="82"/>
      <c r="K38" s="82"/>
      <c r="L38" s="82"/>
      <c r="M38" s="82"/>
      <c r="N38" s="82"/>
      <c r="O38" s="82"/>
      <c r="P38" s="82"/>
    </row>
    <row r="39" spans="1:26" x14ac:dyDescent="0.3">
      <c r="C39" s="81"/>
      <c r="D39" s="82"/>
      <c r="E39" s="82"/>
      <c r="F39" s="82"/>
      <c r="G39" s="82"/>
      <c r="H39" s="82"/>
      <c r="K39" s="82"/>
      <c r="L39" s="82"/>
      <c r="M39" s="82"/>
      <c r="N39" s="82"/>
      <c r="O39" s="82"/>
      <c r="P39" s="82"/>
    </row>
    <row r="40" spans="1:26" x14ac:dyDescent="0.3">
      <c r="C40" s="81"/>
      <c r="D40" s="82"/>
      <c r="E40" s="82"/>
      <c r="F40" s="82"/>
      <c r="G40" s="82"/>
      <c r="H40" s="82"/>
      <c r="K40" s="82"/>
      <c r="L40" s="82"/>
      <c r="M40" s="82"/>
      <c r="N40" s="82"/>
      <c r="O40" s="82"/>
      <c r="P40" s="82"/>
    </row>
    <row r="41" spans="1:26" x14ac:dyDescent="0.3">
      <c r="C41" s="81"/>
      <c r="D41" s="82"/>
      <c r="E41" s="82"/>
      <c r="F41" s="82"/>
      <c r="G41" s="82"/>
      <c r="H41" s="82"/>
      <c r="K41" s="82"/>
      <c r="L41" s="82"/>
      <c r="M41" s="82"/>
      <c r="N41" s="82"/>
      <c r="O41" s="82"/>
      <c r="P41" s="82"/>
    </row>
    <row r="42" spans="1:26" x14ac:dyDescent="0.3">
      <c r="C42" s="81"/>
      <c r="D42" s="82"/>
      <c r="E42" s="82"/>
      <c r="F42" s="82"/>
      <c r="G42" s="82"/>
      <c r="H42" s="82"/>
      <c r="K42" s="82"/>
      <c r="L42" s="82"/>
      <c r="M42" s="82"/>
      <c r="N42" s="82"/>
      <c r="O42" s="82"/>
      <c r="P42" s="82"/>
    </row>
    <row r="43" spans="1:26" x14ac:dyDescent="0.3">
      <c r="C43" s="81"/>
      <c r="D43" s="82"/>
      <c r="E43" s="82"/>
      <c r="F43" s="82"/>
      <c r="G43" s="82"/>
      <c r="H43" s="82"/>
      <c r="K43" s="82"/>
      <c r="L43" s="82"/>
      <c r="M43" s="82"/>
      <c r="N43" s="82"/>
      <c r="O43" s="82"/>
      <c r="P43" s="82"/>
    </row>
    <row r="44" spans="1:26" x14ac:dyDescent="0.3">
      <c r="C44" s="81"/>
      <c r="D44" s="82"/>
      <c r="E44" s="82"/>
      <c r="F44" s="82"/>
      <c r="G44" s="82"/>
      <c r="H44" s="82"/>
      <c r="K44" s="82"/>
      <c r="L44" s="82"/>
      <c r="M44" s="82"/>
      <c r="N44" s="82"/>
      <c r="O44" s="82"/>
      <c r="P44" s="82"/>
    </row>
    <row r="45" spans="1:26" x14ac:dyDescent="0.3">
      <c r="C45" s="81"/>
      <c r="D45" s="82"/>
      <c r="E45" s="82"/>
      <c r="F45" s="82"/>
      <c r="G45" s="82"/>
      <c r="H45" s="82"/>
      <c r="K45" s="82"/>
      <c r="L45" s="82"/>
      <c r="M45" s="82"/>
      <c r="N45" s="82"/>
      <c r="O45" s="82"/>
      <c r="P45" s="82"/>
    </row>
    <row r="46" spans="1:26" x14ac:dyDescent="0.3">
      <c r="C46" s="81"/>
      <c r="D46" s="82"/>
      <c r="E46" s="82"/>
      <c r="F46" s="82"/>
      <c r="G46" s="82"/>
      <c r="H46" s="82"/>
      <c r="K46" s="82"/>
      <c r="L46" s="82"/>
      <c r="M46" s="82"/>
      <c r="N46" s="82"/>
      <c r="O46" s="82"/>
      <c r="P46" s="82"/>
    </row>
    <row r="47" spans="1:26" x14ac:dyDescent="0.3">
      <c r="C47" s="81"/>
      <c r="D47" s="82"/>
      <c r="E47" s="82"/>
      <c r="F47" s="82"/>
      <c r="G47" s="82"/>
      <c r="H47" s="82"/>
      <c r="K47" s="82"/>
      <c r="L47" s="82"/>
      <c r="M47" s="82"/>
      <c r="N47" s="82"/>
      <c r="O47" s="82"/>
      <c r="P47" s="82"/>
    </row>
    <row r="48" spans="1:26" x14ac:dyDescent="0.3">
      <c r="C48" s="81"/>
      <c r="D48" s="82"/>
      <c r="E48" s="82"/>
      <c r="F48" s="82"/>
      <c r="G48" s="82"/>
      <c r="H48" s="82"/>
      <c r="K48" s="82"/>
      <c r="L48" s="82"/>
      <c r="M48" s="82"/>
      <c r="N48" s="82"/>
      <c r="O48" s="82"/>
      <c r="P48" s="82"/>
    </row>
    <row r="49" spans="3:16" x14ac:dyDescent="0.3">
      <c r="C49" s="81"/>
      <c r="D49" s="82"/>
      <c r="E49" s="82"/>
      <c r="F49" s="82"/>
      <c r="G49" s="82"/>
      <c r="H49" s="82"/>
      <c r="K49" s="82"/>
      <c r="L49" s="82"/>
      <c r="M49" s="82"/>
      <c r="N49" s="82"/>
      <c r="O49" s="82"/>
      <c r="P49" s="82"/>
    </row>
    <row r="50" spans="3:16" x14ac:dyDescent="0.3">
      <c r="C50" s="81"/>
      <c r="D50" s="82"/>
      <c r="E50" s="82"/>
      <c r="F50" s="82"/>
      <c r="G50" s="82"/>
      <c r="H50" s="82"/>
      <c r="K50" s="82"/>
      <c r="L50" s="82"/>
      <c r="M50" s="82"/>
      <c r="N50" s="82"/>
      <c r="O50" s="82"/>
      <c r="P50" s="82"/>
    </row>
    <row r="51" spans="3:16" x14ac:dyDescent="0.3">
      <c r="C51" s="81"/>
      <c r="D51" s="82"/>
      <c r="E51" s="82"/>
      <c r="F51" s="82"/>
      <c r="G51" s="82"/>
      <c r="H51" s="82"/>
      <c r="K51" s="82"/>
      <c r="L51" s="82"/>
      <c r="M51" s="82"/>
      <c r="N51" s="82"/>
      <c r="O51" s="82"/>
      <c r="P51" s="82"/>
    </row>
    <row r="52" spans="3:16" x14ac:dyDescent="0.3">
      <c r="C52" s="81"/>
      <c r="D52" s="82"/>
      <c r="E52" s="82"/>
      <c r="F52" s="82"/>
      <c r="G52" s="82"/>
      <c r="H52" s="82"/>
      <c r="K52" s="82"/>
      <c r="L52" s="82"/>
      <c r="M52" s="82"/>
      <c r="N52" s="82"/>
      <c r="O52" s="82"/>
      <c r="P52" s="82"/>
    </row>
    <row r="53" spans="3:16" x14ac:dyDescent="0.3">
      <c r="C53" s="81"/>
      <c r="D53" s="82"/>
      <c r="E53" s="82"/>
      <c r="F53" s="82"/>
      <c r="G53" s="82"/>
      <c r="H53" s="82"/>
      <c r="K53" s="82"/>
      <c r="L53" s="82"/>
      <c r="M53" s="82"/>
      <c r="N53" s="82"/>
      <c r="O53" s="82"/>
      <c r="P53" s="82"/>
    </row>
    <row r="54" spans="3:16" x14ac:dyDescent="0.3">
      <c r="C54" s="81"/>
      <c r="D54" s="82"/>
      <c r="E54" s="82"/>
      <c r="F54" s="82"/>
      <c r="G54" s="82"/>
      <c r="H54" s="82"/>
      <c r="K54" s="82"/>
      <c r="L54" s="82"/>
      <c r="M54" s="82"/>
      <c r="N54" s="82"/>
      <c r="O54" s="82"/>
      <c r="P54" s="82"/>
    </row>
    <row r="55" spans="3:16" x14ac:dyDescent="0.3">
      <c r="C55" s="81"/>
      <c r="D55" s="82"/>
      <c r="E55" s="82"/>
      <c r="F55" s="82"/>
      <c r="G55" s="82"/>
      <c r="H55" s="82"/>
      <c r="K55" s="82"/>
      <c r="L55" s="82"/>
      <c r="M55" s="82"/>
      <c r="N55" s="82"/>
      <c r="O55" s="82"/>
      <c r="P55" s="82"/>
    </row>
    <row r="56" spans="3:16" x14ac:dyDescent="0.3">
      <c r="C56" s="81"/>
      <c r="D56" s="82"/>
      <c r="E56" s="82"/>
      <c r="F56" s="82"/>
      <c r="G56" s="82"/>
      <c r="H56" s="82"/>
      <c r="K56" s="82"/>
      <c r="L56" s="82"/>
      <c r="M56" s="82"/>
      <c r="N56" s="82"/>
      <c r="O56" s="82"/>
      <c r="P56" s="82"/>
    </row>
    <row r="57" spans="3:16" x14ac:dyDescent="0.3">
      <c r="C57" s="81"/>
      <c r="D57" s="82"/>
      <c r="E57" s="82"/>
      <c r="F57" s="82"/>
      <c r="G57" s="82"/>
      <c r="H57" s="82"/>
      <c r="K57" s="82"/>
      <c r="L57" s="82"/>
      <c r="M57" s="82"/>
      <c r="N57" s="82"/>
      <c r="O57" s="82"/>
      <c r="P57" s="82"/>
    </row>
    <row r="58" spans="3:16" x14ac:dyDescent="0.3">
      <c r="C58" s="81"/>
      <c r="D58" s="82"/>
      <c r="E58" s="82"/>
      <c r="F58" s="82"/>
      <c r="G58" s="82"/>
      <c r="H58" s="82"/>
      <c r="K58" s="82"/>
      <c r="L58" s="82"/>
      <c r="M58" s="82"/>
      <c r="N58" s="82"/>
      <c r="O58" s="82"/>
      <c r="P58" s="82"/>
    </row>
    <row r="59" spans="3:16" x14ac:dyDescent="0.3">
      <c r="C59" s="81"/>
      <c r="D59" s="82"/>
      <c r="E59" s="82"/>
      <c r="F59" s="82"/>
      <c r="G59" s="82"/>
      <c r="H59" s="82"/>
      <c r="K59" s="82"/>
      <c r="L59" s="82"/>
      <c r="M59" s="82"/>
      <c r="N59" s="82"/>
      <c r="O59" s="82"/>
      <c r="P59" s="82"/>
    </row>
    <row r="60" spans="3:16" x14ac:dyDescent="0.3">
      <c r="C60" s="81"/>
      <c r="D60" s="82"/>
      <c r="E60" s="82"/>
      <c r="F60" s="82"/>
      <c r="G60" s="82"/>
      <c r="H60" s="82"/>
      <c r="K60" s="82"/>
      <c r="L60" s="82"/>
      <c r="M60" s="82"/>
      <c r="N60" s="82"/>
      <c r="O60" s="82"/>
      <c r="P60" s="82"/>
    </row>
    <row r="61" spans="3:16" x14ac:dyDescent="0.3">
      <c r="C61" s="81"/>
      <c r="D61" s="82"/>
      <c r="E61" s="82"/>
      <c r="F61" s="82"/>
      <c r="G61" s="82"/>
      <c r="H61" s="82"/>
      <c r="K61" s="82"/>
      <c r="L61" s="82"/>
      <c r="M61" s="82"/>
      <c r="N61" s="82"/>
      <c r="O61" s="82"/>
      <c r="P61" s="82"/>
    </row>
    <row r="62" spans="3:16" x14ac:dyDescent="0.3">
      <c r="C62" s="81"/>
      <c r="D62" s="82"/>
      <c r="E62" s="82"/>
      <c r="F62" s="82"/>
      <c r="G62" s="82"/>
      <c r="H62" s="82"/>
      <c r="K62" s="82"/>
      <c r="L62" s="82"/>
      <c r="M62" s="82"/>
      <c r="N62" s="82"/>
      <c r="O62" s="82"/>
      <c r="P62" s="82"/>
    </row>
    <row r="63" spans="3:16" x14ac:dyDescent="0.3">
      <c r="C63" s="81"/>
      <c r="D63" s="82"/>
      <c r="E63" s="82"/>
      <c r="F63" s="82"/>
      <c r="G63" s="82"/>
      <c r="H63" s="82"/>
      <c r="K63" s="82"/>
      <c r="L63" s="82"/>
      <c r="M63" s="82"/>
      <c r="N63" s="82"/>
      <c r="O63" s="82"/>
      <c r="P63" s="82"/>
    </row>
    <row r="64" spans="3:16" x14ac:dyDescent="0.3">
      <c r="C64" s="81"/>
      <c r="D64" s="82"/>
      <c r="E64" s="82"/>
      <c r="F64" s="82"/>
      <c r="G64" s="82"/>
      <c r="H64" s="82"/>
      <c r="K64" s="82"/>
      <c r="L64" s="82"/>
      <c r="M64" s="82"/>
      <c r="N64" s="82"/>
      <c r="O64" s="82"/>
      <c r="P64" s="82"/>
    </row>
    <row r="65" spans="3:16" x14ac:dyDescent="0.3">
      <c r="C65" s="81"/>
      <c r="D65" s="82"/>
      <c r="E65" s="82"/>
      <c r="F65" s="82"/>
      <c r="G65" s="82"/>
      <c r="H65" s="82"/>
      <c r="K65" s="82"/>
      <c r="L65" s="82"/>
      <c r="M65" s="82"/>
      <c r="N65" s="82"/>
      <c r="O65" s="82"/>
      <c r="P65" s="82"/>
    </row>
    <row r="66" spans="3:16" x14ac:dyDescent="0.3">
      <c r="C66" s="81"/>
      <c r="D66" s="82"/>
      <c r="E66" s="82"/>
      <c r="F66" s="82"/>
      <c r="G66" s="82"/>
      <c r="H66" s="82"/>
      <c r="K66" s="82"/>
      <c r="L66" s="82"/>
      <c r="M66" s="82"/>
      <c r="N66" s="82"/>
      <c r="O66" s="82"/>
      <c r="P66" s="82"/>
    </row>
    <row r="67" spans="3:16" x14ac:dyDescent="0.3">
      <c r="C67" s="81"/>
      <c r="D67" s="82"/>
      <c r="E67" s="82"/>
      <c r="F67" s="82"/>
      <c r="G67" s="82"/>
      <c r="H67" s="82"/>
      <c r="K67" s="82"/>
      <c r="L67" s="82"/>
      <c r="M67" s="82"/>
      <c r="N67" s="82"/>
      <c r="O67" s="82"/>
      <c r="P67" s="82"/>
    </row>
    <row r="68" spans="3:16" x14ac:dyDescent="0.3">
      <c r="C68" s="81"/>
      <c r="D68" s="82"/>
      <c r="E68" s="82"/>
      <c r="F68" s="82"/>
      <c r="G68" s="82"/>
      <c r="H68" s="82"/>
      <c r="K68" s="82"/>
      <c r="L68" s="82"/>
      <c r="M68" s="82"/>
      <c r="N68" s="82"/>
      <c r="O68" s="82"/>
      <c r="P68" s="82"/>
    </row>
    <row r="69" spans="3:16" x14ac:dyDescent="0.3">
      <c r="C69" s="81"/>
      <c r="D69" s="82"/>
      <c r="E69" s="82"/>
      <c r="F69" s="82"/>
      <c r="G69" s="82"/>
      <c r="H69" s="82"/>
      <c r="K69" s="82"/>
      <c r="L69" s="82"/>
      <c r="M69" s="82"/>
      <c r="N69" s="82"/>
      <c r="O69" s="82"/>
      <c r="P69" s="82"/>
    </row>
    <row r="70" spans="3:16" x14ac:dyDescent="0.3">
      <c r="C70" s="81"/>
      <c r="D70" s="82"/>
      <c r="E70" s="82"/>
      <c r="F70" s="82"/>
      <c r="G70" s="82"/>
      <c r="H70" s="82"/>
      <c r="K70" s="82"/>
      <c r="L70" s="82"/>
      <c r="M70" s="82"/>
      <c r="N70" s="82"/>
      <c r="O70" s="82"/>
      <c r="P70" s="82"/>
    </row>
    <row r="71" spans="3:16" x14ac:dyDescent="0.3">
      <c r="C71" s="81"/>
      <c r="D71" s="82"/>
      <c r="E71" s="82"/>
      <c r="F71" s="82"/>
      <c r="G71" s="82"/>
      <c r="H71" s="82"/>
      <c r="K71" s="82"/>
      <c r="L71" s="82"/>
      <c r="M71" s="82"/>
      <c r="N71" s="82"/>
      <c r="O71" s="82"/>
      <c r="P71" s="82"/>
    </row>
    <row r="72" spans="3:16" x14ac:dyDescent="0.3">
      <c r="C72" s="81"/>
      <c r="D72" s="82"/>
      <c r="E72" s="82"/>
      <c r="F72" s="82"/>
      <c r="G72" s="82"/>
      <c r="H72" s="82"/>
      <c r="K72" s="82"/>
      <c r="L72" s="82"/>
      <c r="M72" s="82"/>
      <c r="N72" s="82"/>
      <c r="O72" s="82"/>
      <c r="P72" s="82"/>
    </row>
    <row r="73" spans="3:16" x14ac:dyDescent="0.3">
      <c r="C73" s="81"/>
      <c r="D73" s="82"/>
      <c r="E73" s="82"/>
      <c r="F73" s="82"/>
      <c r="G73" s="82"/>
      <c r="H73" s="82"/>
      <c r="K73" s="82"/>
      <c r="L73" s="82"/>
      <c r="M73" s="82"/>
      <c r="N73" s="82"/>
      <c r="O73" s="82"/>
      <c r="P73" s="82"/>
    </row>
    <row r="74" spans="3:16" x14ac:dyDescent="0.3">
      <c r="C74" s="81"/>
      <c r="D74" s="82"/>
      <c r="E74" s="82"/>
      <c r="F74" s="82"/>
      <c r="G74" s="82"/>
      <c r="H74" s="82"/>
      <c r="K74" s="82"/>
      <c r="L74" s="82"/>
      <c r="M74" s="82"/>
      <c r="N74" s="82"/>
      <c r="O74" s="82"/>
      <c r="P74" s="82"/>
    </row>
    <row r="75" spans="3:16" x14ac:dyDescent="0.3">
      <c r="C75" s="81"/>
      <c r="D75" s="82"/>
      <c r="E75" s="82"/>
      <c r="F75" s="82"/>
      <c r="G75" s="82"/>
      <c r="H75" s="82"/>
      <c r="K75" s="82"/>
      <c r="L75" s="82"/>
      <c r="M75" s="82"/>
      <c r="N75" s="82"/>
      <c r="O75" s="82"/>
      <c r="P75" s="82"/>
    </row>
    <row r="76" spans="3:16" x14ac:dyDescent="0.3">
      <c r="C76" s="81"/>
      <c r="D76" s="82"/>
      <c r="E76" s="82"/>
      <c r="F76" s="82"/>
      <c r="G76" s="82"/>
      <c r="H76" s="82"/>
      <c r="K76" s="82"/>
      <c r="L76" s="82"/>
      <c r="M76" s="82"/>
      <c r="N76" s="82"/>
      <c r="O76" s="82"/>
      <c r="P76" s="82"/>
    </row>
    <row r="77" spans="3:16" x14ac:dyDescent="0.3">
      <c r="C77" s="81"/>
      <c r="D77" s="82"/>
      <c r="E77" s="82"/>
      <c r="F77" s="82"/>
      <c r="G77" s="82"/>
      <c r="H77" s="82"/>
      <c r="K77" s="82"/>
      <c r="L77" s="82"/>
      <c r="M77" s="82"/>
      <c r="N77" s="82"/>
      <c r="O77" s="82"/>
      <c r="P77" s="82"/>
    </row>
  </sheetData>
  <mergeCells count="18">
    <mergeCell ref="K3:L3"/>
    <mergeCell ref="S3:T3"/>
    <mergeCell ref="U3:V3"/>
    <mergeCell ref="E3:F3"/>
    <mergeCell ref="I3:J3"/>
    <mergeCell ref="A3:A4"/>
    <mergeCell ref="Z7:Z8"/>
    <mergeCell ref="B3:B4"/>
    <mergeCell ref="Y7:Y8"/>
    <mergeCell ref="X7:X8"/>
    <mergeCell ref="X5:X6"/>
    <mergeCell ref="W3:W4"/>
    <mergeCell ref="Y5:Y6"/>
    <mergeCell ref="C3:D3"/>
    <mergeCell ref="Q3:R3"/>
    <mergeCell ref="G3:H3"/>
    <mergeCell ref="O3:P3"/>
    <mergeCell ref="M3:N3"/>
  </mergeCells>
  <printOptions horizontalCentered="1"/>
  <pageMargins left="0.23622047244094491" right="0.23622047244094491" top="0.55118110236220474" bottom="0.55118110236220474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C4484-E4E7-490C-B613-047DA2AB9F47}">
  <dimension ref="A1:W103"/>
  <sheetViews>
    <sheetView zoomScale="110" zoomScaleNormal="110" workbookViewId="0">
      <pane ySplit="2" topLeftCell="A86" activePane="bottomLeft" state="frozen"/>
      <selection activeCell="F23" sqref="F23"/>
      <selection pane="bottomLeft" activeCell="K67" sqref="K67"/>
    </sheetView>
  </sheetViews>
  <sheetFormatPr baseColWidth="10" defaultColWidth="11.44140625" defaultRowHeight="14.4" x14ac:dyDescent="0.3"/>
  <cols>
    <col min="1" max="1" width="5.109375" style="35" customWidth="1"/>
    <col min="2" max="2" width="9.33203125" style="32" bestFit="1" customWidth="1"/>
    <col min="3" max="3" width="7.109375" style="33" bestFit="1" customWidth="1"/>
    <col min="4" max="4" width="8" style="34" bestFit="1" customWidth="1"/>
    <col min="5" max="5" width="7.6640625" style="32" customWidth="1"/>
    <col min="6" max="6" width="7.109375" style="35" bestFit="1" customWidth="1"/>
    <col min="7" max="7" width="7.88671875" style="14" customWidth="1"/>
    <col min="8" max="8" width="9" style="32" bestFit="1" customWidth="1"/>
    <col min="9" max="9" width="7.109375" style="35" bestFit="1" customWidth="1"/>
    <col min="10" max="10" width="9.33203125" style="14" bestFit="1" customWidth="1"/>
    <col min="11" max="11" width="9" style="32" bestFit="1" customWidth="1"/>
    <col min="12" max="12" width="7.109375" style="35" bestFit="1" customWidth="1"/>
    <col min="13" max="13" width="8.33203125" style="14" bestFit="1" customWidth="1"/>
    <col min="14" max="14" width="9.33203125" style="32" bestFit="1" customWidth="1"/>
    <col min="15" max="15" width="7.109375" style="35" bestFit="1" customWidth="1"/>
    <col min="16" max="16" width="8.33203125" style="35" bestFit="1" customWidth="1"/>
    <col min="17" max="17" width="9.33203125" style="32" bestFit="1" customWidth="1"/>
    <col min="18" max="18" width="7.109375" style="35" bestFit="1" customWidth="1"/>
    <col min="19" max="19" width="8.33203125" style="35" bestFit="1" customWidth="1"/>
    <col min="20" max="20" width="5.5546875" style="35" customWidth="1"/>
    <col min="21" max="21" width="11.5546875" style="35" bestFit="1" customWidth="1"/>
    <col min="22" max="16384" width="11.44140625" style="35"/>
  </cols>
  <sheetData>
    <row r="1" spans="1:21" s="31" customFormat="1" ht="18" x14ac:dyDescent="0.3">
      <c r="A1" s="190" t="s">
        <v>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</row>
    <row r="2" spans="1:21" ht="18" x14ac:dyDescent="0.3">
      <c r="A2" s="31" t="s">
        <v>50</v>
      </c>
      <c r="T2" s="94"/>
    </row>
    <row r="3" spans="1:21" ht="18" x14ac:dyDescent="0.3">
      <c r="A3" s="31"/>
    </row>
    <row r="4" spans="1:21" s="31" customFormat="1" ht="18" x14ac:dyDescent="0.3">
      <c r="A4" s="190" t="s">
        <v>5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</row>
    <row r="5" spans="1:21" x14ac:dyDescent="0.3">
      <c r="A5" s="128" t="s">
        <v>62</v>
      </c>
    </row>
    <row r="6" spans="1:21" s="14" customFormat="1" x14ac:dyDescent="0.3">
      <c r="A6" s="13" t="s">
        <v>6</v>
      </c>
      <c r="B6" s="11" t="s">
        <v>1</v>
      </c>
      <c r="C6" s="37"/>
      <c r="D6" s="38"/>
      <c r="E6" s="36" t="s">
        <v>2</v>
      </c>
      <c r="F6" s="39"/>
      <c r="G6" s="40"/>
      <c r="H6" s="36" t="s">
        <v>3</v>
      </c>
      <c r="I6" s="41"/>
      <c r="J6" s="41"/>
      <c r="K6" s="191" t="s">
        <v>4</v>
      </c>
      <c r="L6" s="192"/>
      <c r="M6" s="193"/>
      <c r="N6" s="191" t="s">
        <v>0</v>
      </c>
      <c r="O6" s="192"/>
      <c r="P6" s="193"/>
      <c r="Q6" s="191" t="s">
        <v>47</v>
      </c>
      <c r="R6" s="192"/>
      <c r="S6" s="193"/>
      <c r="T6" s="13" t="s">
        <v>7</v>
      </c>
    </row>
    <row r="7" spans="1:21" s="14" customFormat="1" x14ac:dyDescent="0.3">
      <c r="A7" s="42"/>
      <c r="B7" s="43"/>
      <c r="C7" s="44"/>
      <c r="D7" s="73"/>
      <c r="E7" s="46"/>
      <c r="F7" s="47"/>
      <c r="G7" s="74"/>
      <c r="H7" s="45"/>
      <c r="I7" s="48"/>
      <c r="J7" s="74"/>
      <c r="K7" s="49"/>
      <c r="L7" s="50"/>
      <c r="M7" s="74"/>
      <c r="N7" s="49"/>
      <c r="O7" s="50"/>
      <c r="P7" s="74"/>
      <c r="Q7" s="49"/>
      <c r="R7" s="50"/>
      <c r="S7" s="74"/>
      <c r="T7" s="42"/>
    </row>
    <row r="8" spans="1:21" x14ac:dyDescent="0.3">
      <c r="A8" s="51" t="s">
        <v>9</v>
      </c>
      <c r="B8" s="52">
        <f>262350+152375+1800</f>
        <v>416525</v>
      </c>
      <c r="C8" s="33">
        <v>4.0000000000000002E-4</v>
      </c>
      <c r="D8" s="75">
        <f>+B8*C8</f>
        <v>166.61</v>
      </c>
      <c r="E8" s="52">
        <f>163850+106438+630</f>
        <v>270918</v>
      </c>
      <c r="F8" s="33">
        <v>4.0000000000000002E-4</v>
      </c>
      <c r="G8" s="76">
        <f>+E8*F8</f>
        <v>108.36720000000001</v>
      </c>
      <c r="H8" s="32">
        <f>204531+43855</f>
        <v>248386</v>
      </c>
      <c r="I8" s="33">
        <v>4.0000000000000002E-4</v>
      </c>
      <c r="J8" s="76">
        <f>+H8*I8</f>
        <v>99.354399999999998</v>
      </c>
      <c r="K8" s="52">
        <f>282089+72911</f>
        <v>355000</v>
      </c>
      <c r="L8" s="33">
        <v>4.0000000000000002E-4</v>
      </c>
      <c r="M8" s="76">
        <f>+K8*L8</f>
        <v>142</v>
      </c>
      <c r="N8" s="52">
        <f>+B8+E8+H8+K8</f>
        <v>1290829</v>
      </c>
      <c r="O8" s="33">
        <v>4.0000000000000002E-4</v>
      </c>
      <c r="P8" s="76">
        <f>+N8*O8</f>
        <v>516.33159999999998</v>
      </c>
      <c r="Q8" s="52">
        <f>+BASES!C7</f>
        <v>1290829.42</v>
      </c>
      <c r="R8" s="33">
        <v>4.0000000000000002E-4</v>
      </c>
      <c r="S8" s="76">
        <f>+Q8*R8</f>
        <v>516.33176800000001</v>
      </c>
      <c r="T8" s="53">
        <f>+N8-Q8</f>
        <v>-0.41999999992549419</v>
      </c>
    </row>
    <row r="9" spans="1:21" ht="6" customHeight="1" x14ac:dyDescent="0.3">
      <c r="A9" s="51"/>
      <c r="B9" s="52"/>
      <c r="D9" s="75"/>
      <c r="E9" s="52"/>
      <c r="F9" s="33"/>
      <c r="G9" s="76"/>
      <c r="I9" s="33"/>
      <c r="J9" s="76"/>
      <c r="K9" s="52"/>
      <c r="L9" s="33"/>
      <c r="M9" s="76"/>
      <c r="N9" s="52"/>
      <c r="O9" s="33"/>
      <c r="P9" s="76"/>
      <c r="Q9" s="52"/>
      <c r="R9" s="33"/>
      <c r="S9" s="76"/>
      <c r="T9" s="53"/>
    </row>
    <row r="10" spans="1:21" x14ac:dyDescent="0.3">
      <c r="A10" s="51" t="s">
        <v>9</v>
      </c>
      <c r="B10" s="32">
        <f>+B8</f>
        <v>416525</v>
      </c>
      <c r="C10" s="77">
        <v>4.4999999999999999E-4</v>
      </c>
      <c r="D10" s="76">
        <f>+B10*C10</f>
        <v>187.43625</v>
      </c>
      <c r="E10" s="32">
        <f t="shared" ref="E10" si="0">+E8</f>
        <v>270918</v>
      </c>
      <c r="F10" s="77">
        <v>4.4999999999999999E-4</v>
      </c>
      <c r="G10" s="76">
        <f>+E10*F10</f>
        <v>121.9131</v>
      </c>
      <c r="H10" s="32">
        <f t="shared" ref="H10" si="1">+H8</f>
        <v>248386</v>
      </c>
      <c r="I10" s="77">
        <v>4.4999999999999999E-4</v>
      </c>
      <c r="J10" s="76">
        <f>+H10*I10</f>
        <v>111.77369999999999</v>
      </c>
      <c r="K10" s="32">
        <f t="shared" ref="K10" si="2">+K8</f>
        <v>355000</v>
      </c>
      <c r="L10" s="77">
        <v>4.4999999999999999E-4</v>
      </c>
      <c r="M10" s="76">
        <f t="shared" ref="M10" si="3">+K10*L10</f>
        <v>159.75</v>
      </c>
      <c r="N10" s="52">
        <f>+B10+E10+H10+K10</f>
        <v>1290829</v>
      </c>
      <c r="O10" s="77">
        <v>4.4999999999999999E-4</v>
      </c>
      <c r="P10" s="76">
        <f>+N10*O10</f>
        <v>580.87305000000003</v>
      </c>
      <c r="Q10" s="52">
        <f>+Q8</f>
        <v>1290829.42</v>
      </c>
      <c r="R10" s="77">
        <v>4.4999999999999999E-4</v>
      </c>
      <c r="S10" s="76">
        <f>+Q10*R10</f>
        <v>580.8732389999999</v>
      </c>
      <c r="T10" s="53">
        <f>+N10-Q10</f>
        <v>-0.41999999992549419</v>
      </c>
    </row>
    <row r="11" spans="1:21" x14ac:dyDescent="0.3">
      <c r="A11" s="51"/>
      <c r="B11" s="52"/>
      <c r="C11" s="92"/>
      <c r="D11" s="75"/>
      <c r="E11" s="52"/>
      <c r="F11" s="92"/>
      <c r="G11" s="78"/>
      <c r="H11" s="99"/>
      <c r="I11" s="105"/>
      <c r="J11" s="98"/>
      <c r="K11" s="52"/>
      <c r="L11" s="92"/>
      <c r="M11" s="78"/>
      <c r="N11" s="99"/>
      <c r="O11" s="105"/>
      <c r="P11" s="132"/>
      <c r="Q11" s="99"/>
      <c r="R11" s="105"/>
      <c r="S11" s="98"/>
      <c r="T11" s="51"/>
    </row>
    <row r="12" spans="1:21" x14ac:dyDescent="0.3">
      <c r="A12" s="54"/>
      <c r="B12" s="55"/>
      <c r="C12" s="56"/>
      <c r="D12" s="79">
        <f>SUM(D7:D11)</f>
        <v>354.04624999999999</v>
      </c>
      <c r="E12" s="55"/>
      <c r="F12" s="56"/>
      <c r="G12" s="79">
        <f>SUM(G7:G11)</f>
        <v>230.28030000000001</v>
      </c>
      <c r="H12" s="57"/>
      <c r="I12" s="56"/>
      <c r="J12" s="79">
        <f>SUM(J7:J11)-0.01</f>
        <v>211.1181</v>
      </c>
      <c r="K12" s="55"/>
      <c r="L12" s="56"/>
      <c r="M12" s="79">
        <f>SUM(M7:M11)</f>
        <v>301.75</v>
      </c>
      <c r="N12" s="55"/>
      <c r="O12" s="56"/>
      <c r="P12" s="79">
        <f>SUM(P7:P11)</f>
        <v>1097.2046500000001</v>
      </c>
      <c r="Q12" s="55"/>
      <c r="R12" s="56"/>
      <c r="S12" s="79">
        <f>SUM(S7:S11)-0.01</f>
        <v>1097.195007</v>
      </c>
      <c r="T12" s="58">
        <f>+P12-S12</f>
        <v>9.6430000000964355E-3</v>
      </c>
    </row>
    <row r="13" spans="1:21" x14ac:dyDescent="0.3">
      <c r="C13" s="101"/>
      <c r="D13" s="102"/>
      <c r="G13" s="35"/>
      <c r="J13" s="35"/>
      <c r="M13" s="35"/>
      <c r="P13" s="103"/>
      <c r="U13" s="104">
        <f>+S12/[1]BASES!$C$24</f>
        <v>1.3458519151368549E-3</v>
      </c>
    </row>
    <row r="14" spans="1:21" s="31" customFormat="1" ht="18" x14ac:dyDescent="0.35">
      <c r="A14" s="189" t="s">
        <v>61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</row>
    <row r="15" spans="1:21" x14ac:dyDescent="0.3">
      <c r="A15" s="128" t="s">
        <v>63</v>
      </c>
    </row>
    <row r="16" spans="1:21" s="14" customFormat="1" x14ac:dyDescent="0.3">
      <c r="A16" s="13" t="s">
        <v>6</v>
      </c>
      <c r="B16" s="36" t="s">
        <v>1</v>
      </c>
      <c r="C16" s="37"/>
      <c r="D16" s="38"/>
      <c r="E16" s="36" t="s">
        <v>2</v>
      </c>
      <c r="F16" s="39"/>
      <c r="G16" s="40"/>
      <c r="H16" s="36" t="s">
        <v>3</v>
      </c>
      <c r="I16" s="41"/>
      <c r="J16" s="41"/>
      <c r="K16" s="191" t="s">
        <v>4</v>
      </c>
      <c r="L16" s="192"/>
      <c r="M16" s="193"/>
      <c r="N16" s="191" t="s">
        <v>0</v>
      </c>
      <c r="O16" s="192"/>
      <c r="P16" s="193"/>
      <c r="Q16" s="191" t="s">
        <v>47</v>
      </c>
      <c r="R16" s="192"/>
      <c r="S16" s="193"/>
      <c r="T16" s="13" t="s">
        <v>7</v>
      </c>
    </row>
    <row r="17" spans="1:22" s="14" customFormat="1" x14ac:dyDescent="0.3">
      <c r="A17" s="42"/>
      <c r="B17" s="43"/>
      <c r="C17" s="44"/>
      <c r="D17" s="73"/>
      <c r="E17" s="46"/>
      <c r="F17" s="47"/>
      <c r="G17" s="74"/>
      <c r="H17" s="45"/>
      <c r="I17" s="48"/>
      <c r="J17" s="74"/>
      <c r="K17" s="49"/>
      <c r="L17" s="50"/>
      <c r="M17" s="74"/>
      <c r="N17" s="49"/>
      <c r="O17" s="50"/>
      <c r="P17" s="74"/>
      <c r="Q17" s="49"/>
      <c r="R17" s="50"/>
      <c r="S17" s="74"/>
      <c r="T17" s="42"/>
      <c r="V17" s="144" t="s">
        <v>95</v>
      </c>
    </row>
    <row r="18" spans="1:22" x14ac:dyDescent="0.3">
      <c r="A18" s="51" t="s">
        <v>83</v>
      </c>
      <c r="B18" s="52">
        <v>0</v>
      </c>
      <c r="C18" s="33">
        <v>5.9999999999999995E-4</v>
      </c>
      <c r="D18" s="75">
        <f>+B18*C18</f>
        <v>0</v>
      </c>
      <c r="E18" s="52">
        <v>404</v>
      </c>
      <c r="F18" s="33">
        <v>5.9999999999999995E-4</v>
      </c>
      <c r="G18" s="76">
        <f>+E18*F18</f>
        <v>0.24239999999999998</v>
      </c>
      <c r="H18" s="32">
        <v>202</v>
      </c>
      <c r="I18" s="33">
        <v>5.9999999999999995E-4</v>
      </c>
      <c r="J18" s="76">
        <f>+H18*I18</f>
        <v>0.12119999999999999</v>
      </c>
      <c r="K18" s="52">
        <v>0</v>
      </c>
      <c r="L18" s="33">
        <v>5.9999999999999995E-4</v>
      </c>
      <c r="M18" s="76">
        <f>+K18*L18</f>
        <v>0</v>
      </c>
      <c r="N18" s="52">
        <f>+B18+E18+H18+K18</f>
        <v>606</v>
      </c>
      <c r="O18" s="33">
        <v>5.9999999999999995E-4</v>
      </c>
      <c r="P18" s="76">
        <f>+N18*O18</f>
        <v>0.36359999999999998</v>
      </c>
      <c r="Q18" s="52">
        <v>606</v>
      </c>
      <c r="R18" s="33">
        <v>5.9999999999999995E-4</v>
      </c>
      <c r="S18" s="76">
        <f>+Q18*R18</f>
        <v>0.36359999999999998</v>
      </c>
      <c r="T18" s="53">
        <f>+S18-P18</f>
        <v>0</v>
      </c>
      <c r="U18" s="35" t="s">
        <v>64</v>
      </c>
      <c r="V18" s="32">
        <f>500+1500</f>
        <v>2000</v>
      </c>
    </row>
    <row r="19" spans="1:22" ht="6" customHeight="1" x14ac:dyDescent="0.3">
      <c r="A19" s="51"/>
      <c r="B19" s="52"/>
      <c r="D19" s="75"/>
      <c r="E19" s="52"/>
      <c r="F19" s="33"/>
      <c r="G19" s="76"/>
      <c r="I19" s="33"/>
      <c r="J19" s="76"/>
      <c r="K19" s="52"/>
      <c r="L19" s="33"/>
      <c r="M19" s="76"/>
      <c r="N19" s="52"/>
      <c r="O19" s="33"/>
      <c r="P19" s="76"/>
      <c r="Q19" s="52"/>
      <c r="R19" s="33"/>
      <c r="S19" s="76"/>
      <c r="T19" s="53"/>
    </row>
    <row r="20" spans="1:22" x14ac:dyDescent="0.3">
      <c r="A20" s="51" t="s">
        <v>9</v>
      </c>
      <c r="B20" s="32">
        <v>0</v>
      </c>
      <c r="C20" s="33">
        <v>5.9999999999999995E-4</v>
      </c>
      <c r="D20" s="76">
        <f>+B20*C20</f>
        <v>0</v>
      </c>
      <c r="E20" s="32">
        <v>3050</v>
      </c>
      <c r="F20" s="33">
        <v>5.9999999999999995E-4</v>
      </c>
      <c r="G20" s="76">
        <f>+E20*F20</f>
        <v>1.8299999999999998</v>
      </c>
      <c r="H20" s="32">
        <v>0</v>
      </c>
      <c r="I20" s="33">
        <v>5.9999999999999995E-4</v>
      </c>
      <c r="J20" s="76">
        <f>+H20*I20</f>
        <v>0</v>
      </c>
      <c r="K20" s="32">
        <v>0</v>
      </c>
      <c r="L20" s="33">
        <v>5.9999999999999995E-4</v>
      </c>
      <c r="M20" s="76">
        <f>+K20*L20</f>
        <v>0</v>
      </c>
      <c r="N20" s="52">
        <f>+B20+E20+H20+K20</f>
        <v>3050</v>
      </c>
      <c r="O20" s="33">
        <v>5.9999999999999995E-4</v>
      </c>
      <c r="P20" s="76">
        <f>+N20*O20</f>
        <v>1.8299999999999998</v>
      </c>
      <c r="Q20" s="52">
        <f>+BASES!E7-V18</f>
        <v>5850</v>
      </c>
      <c r="R20" s="33">
        <v>5.9999999999999995E-4</v>
      </c>
      <c r="S20" s="76">
        <f>+Q20*R20</f>
        <v>3.51</v>
      </c>
      <c r="T20" s="53">
        <f>+S20-P20</f>
        <v>1.68</v>
      </c>
      <c r="U20" s="35" t="s">
        <v>65</v>
      </c>
      <c r="V20" s="172" t="s">
        <v>96</v>
      </c>
    </row>
    <row r="21" spans="1:22" x14ac:dyDescent="0.3">
      <c r="A21" s="51"/>
      <c r="B21" s="99"/>
      <c r="C21" s="100"/>
      <c r="D21" s="98"/>
      <c r="E21" s="52"/>
      <c r="F21" s="33"/>
      <c r="G21" s="78"/>
      <c r="I21" s="77"/>
      <c r="J21" s="78"/>
      <c r="K21" s="99"/>
      <c r="L21" s="100"/>
      <c r="M21" s="98"/>
      <c r="N21" s="99"/>
      <c r="O21" s="100"/>
      <c r="P21" s="98"/>
      <c r="Q21" s="99"/>
      <c r="R21" s="100"/>
      <c r="S21" s="98"/>
      <c r="T21" s="51"/>
    </row>
    <row r="22" spans="1:22" x14ac:dyDescent="0.3">
      <c r="A22" s="54"/>
      <c r="B22" s="55"/>
      <c r="C22" s="56"/>
      <c r="D22" s="79">
        <f>SUM(D17:D21)</f>
        <v>0</v>
      </c>
      <c r="E22" s="55"/>
      <c r="F22" s="56"/>
      <c r="G22" s="79">
        <f>SUM(G17:G21)</f>
        <v>2.0724</v>
      </c>
      <c r="H22" s="57"/>
      <c r="I22" s="56"/>
      <c r="J22" s="79">
        <f>SUM(J17:J21)</f>
        <v>0.12119999999999999</v>
      </c>
      <c r="K22" s="55"/>
      <c r="L22" s="91"/>
      <c r="M22" s="79">
        <f>SUM(M17:M21)</f>
        <v>0</v>
      </c>
      <c r="N22" s="55"/>
      <c r="O22" s="56"/>
      <c r="P22" s="79">
        <f>SUM(P17:P21)</f>
        <v>2.1936</v>
      </c>
      <c r="Q22" s="55"/>
      <c r="R22" s="56"/>
      <c r="S22" s="79">
        <f>SUM(S17:S21)</f>
        <v>3.8735999999999997</v>
      </c>
      <c r="T22" s="58">
        <f>+P22-S22</f>
        <v>-1.6799999999999997</v>
      </c>
    </row>
    <row r="23" spans="1:22" x14ac:dyDescent="0.3">
      <c r="D23" s="97"/>
      <c r="G23" s="127" t="s">
        <v>88</v>
      </c>
      <c r="J23" s="127" t="s">
        <v>88</v>
      </c>
      <c r="M23" s="127"/>
      <c r="P23" s="127" t="s">
        <v>88</v>
      </c>
      <c r="U23" s="80">
        <f>+S22/[1]BASES!$E$24</f>
        <v>7.7706674155950974E-4</v>
      </c>
    </row>
    <row r="24" spans="1:22" s="31" customFormat="1" ht="18" x14ac:dyDescent="0.35">
      <c r="A24" s="189" t="s">
        <v>56</v>
      </c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</row>
    <row r="25" spans="1:22" x14ac:dyDescent="0.3">
      <c r="A25" s="128" t="s">
        <v>62</v>
      </c>
    </row>
    <row r="26" spans="1:22" s="14" customFormat="1" x14ac:dyDescent="0.3">
      <c r="A26" s="13" t="s">
        <v>6</v>
      </c>
      <c r="B26" s="36" t="s">
        <v>1</v>
      </c>
      <c r="C26" s="37"/>
      <c r="D26" s="38"/>
      <c r="E26" s="36" t="s">
        <v>2</v>
      </c>
      <c r="F26" s="39"/>
      <c r="G26" s="40"/>
      <c r="H26" s="36" t="s">
        <v>3</v>
      </c>
      <c r="I26" s="41"/>
      <c r="J26" s="41"/>
      <c r="K26" s="191" t="s">
        <v>4</v>
      </c>
      <c r="L26" s="192"/>
      <c r="M26" s="193"/>
      <c r="N26" s="191" t="s">
        <v>0</v>
      </c>
      <c r="O26" s="192"/>
      <c r="P26" s="193"/>
      <c r="Q26" s="191" t="s">
        <v>47</v>
      </c>
      <c r="R26" s="192"/>
      <c r="S26" s="193"/>
      <c r="T26" s="13" t="s">
        <v>7</v>
      </c>
    </row>
    <row r="27" spans="1:22" s="14" customFormat="1" x14ac:dyDescent="0.3">
      <c r="A27" s="42"/>
      <c r="B27" s="43"/>
      <c r="C27" s="44"/>
      <c r="D27" s="73"/>
      <c r="E27" s="46"/>
      <c r="F27" s="47"/>
      <c r="G27" s="74"/>
      <c r="H27" s="45"/>
      <c r="I27" s="48"/>
      <c r="J27" s="74"/>
      <c r="K27" s="49"/>
      <c r="L27" s="50"/>
      <c r="M27" s="74"/>
      <c r="N27" s="49"/>
      <c r="O27" s="50"/>
      <c r="P27" s="74"/>
      <c r="Q27" s="49"/>
      <c r="R27" s="50"/>
      <c r="S27" s="74"/>
      <c r="T27" s="42"/>
    </row>
    <row r="28" spans="1:22" x14ac:dyDescent="0.3">
      <c r="A28" s="51" t="s">
        <v>9</v>
      </c>
      <c r="B28" s="52">
        <v>14884</v>
      </c>
      <c r="C28" s="33">
        <v>4.0000000000000002E-4</v>
      </c>
      <c r="D28" s="75">
        <f>+B28*C28</f>
        <v>5.9536000000000007</v>
      </c>
      <c r="E28" s="52">
        <v>0</v>
      </c>
      <c r="F28" s="33">
        <v>4.0000000000000002E-4</v>
      </c>
      <c r="G28" s="76">
        <f>+E28*F28</f>
        <v>0</v>
      </c>
      <c r="H28" s="32">
        <v>0</v>
      </c>
      <c r="I28" s="33">
        <v>4.0000000000000002E-4</v>
      </c>
      <c r="J28" s="76">
        <f>+H28*I28</f>
        <v>0</v>
      </c>
      <c r="K28" s="52">
        <v>0</v>
      </c>
      <c r="L28" s="89">
        <v>4.0000000000000002E-4</v>
      </c>
      <c r="M28" s="76">
        <f>+K28*L28</f>
        <v>0</v>
      </c>
      <c r="N28" s="52">
        <f>+B28+E28+H28+K28</f>
        <v>14884</v>
      </c>
      <c r="O28" s="33">
        <v>4.0000000000000002E-4</v>
      </c>
      <c r="P28" s="76">
        <f>+N28*O28</f>
        <v>5.9536000000000007</v>
      </c>
      <c r="Q28" s="52">
        <f>+BASES!G7</f>
        <v>14884.169999999998</v>
      </c>
      <c r="R28" s="33">
        <v>4.0000000000000002E-4</v>
      </c>
      <c r="S28" s="76">
        <f>+Q28*R28</f>
        <v>5.9536679999999995</v>
      </c>
      <c r="T28" s="53">
        <f>+S28-P28</f>
        <v>6.7999999998846761E-5</v>
      </c>
    </row>
    <row r="29" spans="1:22" ht="6" customHeight="1" x14ac:dyDescent="0.3">
      <c r="A29" s="51"/>
      <c r="B29" s="52"/>
      <c r="D29" s="75"/>
      <c r="E29" s="52"/>
      <c r="F29" s="33"/>
      <c r="G29" s="76"/>
      <c r="I29" s="33"/>
      <c r="J29" s="76"/>
      <c r="K29" s="52"/>
      <c r="L29" s="89"/>
      <c r="M29" s="76"/>
      <c r="N29" s="52"/>
      <c r="O29" s="33"/>
      <c r="P29" s="76"/>
      <c r="Q29" s="52"/>
      <c r="R29" s="33"/>
      <c r="S29" s="76"/>
      <c r="T29" s="53"/>
    </row>
    <row r="30" spans="1:22" x14ac:dyDescent="0.3">
      <c r="A30" s="51" t="s">
        <v>9</v>
      </c>
      <c r="B30" s="32">
        <f>+B28</f>
        <v>14884</v>
      </c>
      <c r="C30" s="77">
        <v>4.4999999999999999E-4</v>
      </c>
      <c r="D30" s="76">
        <f>+B30*C30</f>
        <v>6.6978</v>
      </c>
      <c r="E30" s="32">
        <f>+E28</f>
        <v>0</v>
      </c>
      <c r="F30" s="77">
        <v>4.4999999999999999E-4</v>
      </c>
      <c r="G30" s="76">
        <f>+E30*F30</f>
        <v>0</v>
      </c>
      <c r="H30" s="32">
        <f>+H28</f>
        <v>0</v>
      </c>
      <c r="I30" s="77">
        <v>4.4999999999999999E-4</v>
      </c>
      <c r="J30" s="76">
        <f>+H30*I30</f>
        <v>0</v>
      </c>
      <c r="K30" s="32">
        <f>+K28</f>
        <v>0</v>
      </c>
      <c r="L30" s="90">
        <v>4.4999999999999999E-4</v>
      </c>
      <c r="M30" s="76">
        <f>+K30*L30</f>
        <v>0</v>
      </c>
      <c r="N30" s="52">
        <f>+B30+E30+H30+K30</f>
        <v>14884</v>
      </c>
      <c r="O30" s="77">
        <v>4.4999999999999999E-4</v>
      </c>
      <c r="P30" s="76">
        <f>+N30*O30</f>
        <v>6.6978</v>
      </c>
      <c r="Q30" s="52">
        <f>+Q28</f>
        <v>14884.169999999998</v>
      </c>
      <c r="R30" s="77">
        <v>4.4999999999999999E-4</v>
      </c>
      <c r="S30" s="76">
        <f>+Q30*R30</f>
        <v>6.6978764999999987</v>
      </c>
      <c r="T30" s="53">
        <f>+S30-P30</f>
        <v>7.6499999998702606E-5</v>
      </c>
    </row>
    <row r="31" spans="1:22" x14ac:dyDescent="0.3">
      <c r="A31" s="51"/>
      <c r="B31" s="99"/>
      <c r="C31" s="100"/>
      <c r="D31" s="98"/>
      <c r="E31" s="52"/>
      <c r="F31" s="33"/>
      <c r="G31" s="78"/>
      <c r="I31" s="77"/>
      <c r="J31" s="78"/>
      <c r="K31" s="52"/>
      <c r="L31" s="89"/>
      <c r="M31" s="78"/>
      <c r="N31" s="99"/>
      <c r="O31" s="100"/>
      <c r="P31" s="132"/>
      <c r="Q31" s="99"/>
      <c r="R31" s="100"/>
      <c r="S31" s="132"/>
      <c r="T31" s="51"/>
    </row>
    <row r="32" spans="1:22" x14ac:dyDescent="0.3">
      <c r="A32" s="54"/>
      <c r="B32" s="55"/>
      <c r="C32" s="56"/>
      <c r="D32" s="79">
        <f>SUM(D27:D31)</f>
        <v>12.651400000000001</v>
      </c>
      <c r="E32" s="55"/>
      <c r="F32" s="56"/>
      <c r="G32" s="79">
        <f>SUM(G27:G31)</f>
        <v>0</v>
      </c>
      <c r="H32" s="57"/>
      <c r="I32" s="56"/>
      <c r="J32" s="79">
        <f>SUM(J27:J31)</f>
        <v>0</v>
      </c>
      <c r="K32" s="55"/>
      <c r="L32" s="91"/>
      <c r="M32" s="79">
        <f>SUM(M27:M31)</f>
        <v>0</v>
      </c>
      <c r="N32" s="55"/>
      <c r="O32" s="56"/>
      <c r="P32" s="79">
        <f>SUM(P27:P31)</f>
        <v>12.651400000000001</v>
      </c>
      <c r="Q32" s="55"/>
      <c r="R32" s="56"/>
      <c r="S32" s="79">
        <f>SUM(S27:S31)</f>
        <v>12.651544499999998</v>
      </c>
      <c r="T32" s="58">
        <f>+P32-S32</f>
        <v>-1.4449999999754937E-4</v>
      </c>
    </row>
    <row r="33" spans="1:21" x14ac:dyDescent="0.3">
      <c r="D33" s="97"/>
      <c r="J33" s="94"/>
      <c r="M33" s="133"/>
      <c r="U33" s="80">
        <f>+S32/[1]BASES!$G$24</f>
        <v>1.2552166487485279E-4</v>
      </c>
    </row>
    <row r="34" spans="1:21" s="31" customFormat="1" ht="18" x14ac:dyDescent="0.35">
      <c r="A34" s="189" t="s">
        <v>82</v>
      </c>
      <c r="B34" s="189"/>
      <c r="C34" s="189"/>
      <c r="D34" s="189"/>
      <c r="E34" s="189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</row>
    <row r="35" spans="1:21" x14ac:dyDescent="0.3">
      <c r="A35" s="128" t="s">
        <v>62</v>
      </c>
    </row>
    <row r="36" spans="1:21" s="14" customFormat="1" x14ac:dyDescent="0.3">
      <c r="A36" s="13" t="s">
        <v>6</v>
      </c>
      <c r="B36" s="36" t="s">
        <v>1</v>
      </c>
      <c r="C36" s="37"/>
      <c r="D36" s="38"/>
      <c r="E36" s="36" t="s">
        <v>2</v>
      </c>
      <c r="F36" s="39"/>
      <c r="G36" s="40"/>
      <c r="H36" s="36" t="s">
        <v>3</v>
      </c>
      <c r="I36" s="41"/>
      <c r="J36" s="41"/>
      <c r="K36" s="191" t="s">
        <v>4</v>
      </c>
      <c r="L36" s="192"/>
      <c r="M36" s="193"/>
      <c r="N36" s="191" t="s">
        <v>0</v>
      </c>
      <c r="O36" s="192"/>
      <c r="P36" s="193"/>
      <c r="Q36" s="191" t="s">
        <v>47</v>
      </c>
      <c r="R36" s="192"/>
      <c r="S36" s="193"/>
      <c r="T36" s="13" t="s">
        <v>7</v>
      </c>
    </row>
    <row r="37" spans="1:21" s="14" customFormat="1" x14ac:dyDescent="0.3">
      <c r="A37" s="42"/>
      <c r="B37" s="43"/>
      <c r="C37" s="44"/>
      <c r="D37" s="73"/>
      <c r="E37" s="46"/>
      <c r="F37" s="47"/>
      <c r="G37" s="74"/>
      <c r="H37" s="45"/>
      <c r="I37" s="48"/>
      <c r="J37" s="74"/>
      <c r="K37" s="49"/>
      <c r="L37" s="50"/>
      <c r="M37" s="74"/>
      <c r="N37" s="49"/>
      <c r="O37" s="50"/>
      <c r="P37" s="74"/>
      <c r="Q37" s="49"/>
      <c r="R37" s="50"/>
      <c r="S37" s="74"/>
      <c r="T37" s="42"/>
    </row>
    <row r="38" spans="1:21" x14ac:dyDescent="0.3">
      <c r="A38" s="51" t="s">
        <v>9</v>
      </c>
      <c r="B38" s="52">
        <v>0</v>
      </c>
      <c r="C38" s="33">
        <v>4.0000000000000002E-4</v>
      </c>
      <c r="D38" s="75">
        <f>+B38*C38</f>
        <v>0</v>
      </c>
      <c r="E38" s="52">
        <v>0</v>
      </c>
      <c r="F38" s="33">
        <v>4.0000000000000002E-4</v>
      </c>
      <c r="G38" s="76">
        <f>+E38*F38</f>
        <v>0</v>
      </c>
      <c r="H38" s="32">
        <v>0</v>
      </c>
      <c r="I38" s="33">
        <v>4.0000000000000002E-4</v>
      </c>
      <c r="J38" s="76">
        <f>+H38*I38</f>
        <v>0</v>
      </c>
      <c r="K38" s="52">
        <v>1072485</v>
      </c>
      <c r="L38" s="89">
        <v>4.0000000000000002E-4</v>
      </c>
      <c r="M38" s="76">
        <f>+K38*L38</f>
        <v>428.99400000000003</v>
      </c>
      <c r="N38" s="52">
        <f>+B38+E38+H38+K38</f>
        <v>1072485</v>
      </c>
      <c r="O38" s="33">
        <v>4.0000000000000002E-4</v>
      </c>
      <c r="P38" s="76">
        <f>+N38*O38</f>
        <v>428.99400000000003</v>
      </c>
      <c r="Q38" s="52">
        <f>+BASES!I7</f>
        <v>1072484.9500000002</v>
      </c>
      <c r="R38" s="33">
        <v>4.0000000000000002E-4</v>
      </c>
      <c r="S38" s="76">
        <f>+Q38*R38</f>
        <v>428.99398000000008</v>
      </c>
      <c r="T38" s="53">
        <f>+S38-P38</f>
        <v>-1.9999999949504854E-5</v>
      </c>
    </row>
    <row r="39" spans="1:21" ht="6" customHeight="1" x14ac:dyDescent="0.3">
      <c r="A39" s="51"/>
      <c r="B39" s="52"/>
      <c r="D39" s="75"/>
      <c r="E39" s="52"/>
      <c r="F39" s="33"/>
      <c r="G39" s="76"/>
      <c r="I39" s="33"/>
      <c r="J39" s="76"/>
      <c r="K39" s="52"/>
      <c r="L39" s="89"/>
      <c r="M39" s="76"/>
      <c r="N39" s="52"/>
      <c r="O39" s="33"/>
      <c r="P39" s="76"/>
      <c r="Q39" s="52"/>
      <c r="R39" s="33"/>
      <c r="S39" s="76"/>
      <c r="T39" s="53"/>
    </row>
    <row r="40" spans="1:21" x14ac:dyDescent="0.3">
      <c r="A40" s="51" t="s">
        <v>9</v>
      </c>
      <c r="B40" s="32">
        <f>+B38</f>
        <v>0</v>
      </c>
      <c r="C40" s="77">
        <v>4.4999999999999999E-4</v>
      </c>
      <c r="D40" s="76">
        <f>+B40*C40</f>
        <v>0</v>
      </c>
      <c r="E40" s="32">
        <f>+E38</f>
        <v>0</v>
      </c>
      <c r="F40" s="77">
        <v>4.4999999999999999E-4</v>
      </c>
      <c r="G40" s="76">
        <f>+E40*F40</f>
        <v>0</v>
      </c>
      <c r="H40" s="32">
        <f>+H38</f>
        <v>0</v>
      </c>
      <c r="I40" s="77">
        <v>4.4999999999999999E-4</v>
      </c>
      <c r="J40" s="76">
        <f>+H40*I40</f>
        <v>0</v>
      </c>
      <c r="K40" s="32">
        <f>+K38</f>
        <v>1072485</v>
      </c>
      <c r="L40" s="90">
        <v>4.4999999999999999E-4</v>
      </c>
      <c r="M40" s="76">
        <f>+K40*L40</f>
        <v>482.61824999999999</v>
      </c>
      <c r="N40" s="52">
        <f>+B40+E40+H40+K40</f>
        <v>1072485</v>
      </c>
      <c r="O40" s="77">
        <v>4.4999999999999999E-4</v>
      </c>
      <c r="P40" s="76">
        <f>+N40*O40</f>
        <v>482.61824999999999</v>
      </c>
      <c r="Q40" s="52">
        <f>+Q38</f>
        <v>1072484.9500000002</v>
      </c>
      <c r="R40" s="77">
        <v>4.4999999999999999E-4</v>
      </c>
      <c r="S40" s="76">
        <f>+Q40*R40</f>
        <v>482.61822750000005</v>
      </c>
      <c r="T40" s="53">
        <f>+S40-P40</f>
        <v>-2.2499999943192961E-5</v>
      </c>
    </row>
    <row r="41" spans="1:21" x14ac:dyDescent="0.3">
      <c r="A41" s="51"/>
      <c r="B41" s="99"/>
      <c r="C41" s="100"/>
      <c r="D41" s="98"/>
      <c r="E41" s="52"/>
      <c r="F41" s="33"/>
      <c r="G41" s="78"/>
      <c r="I41" s="77"/>
      <c r="J41" s="78"/>
      <c r="K41" s="52"/>
      <c r="L41" s="89"/>
      <c r="M41" s="78"/>
      <c r="N41" s="99"/>
      <c r="O41" s="100"/>
      <c r="P41" s="132"/>
      <c r="Q41" s="99"/>
      <c r="R41" s="100"/>
      <c r="S41" s="132"/>
      <c r="T41" s="51"/>
    </row>
    <row r="42" spans="1:21" x14ac:dyDescent="0.3">
      <c r="A42" s="54"/>
      <c r="B42" s="55"/>
      <c r="C42" s="56"/>
      <c r="D42" s="79">
        <f>SUM(D37:D41)</f>
        <v>0</v>
      </c>
      <c r="E42" s="55"/>
      <c r="F42" s="56"/>
      <c r="G42" s="79">
        <f>SUM(G37:G41)</f>
        <v>0</v>
      </c>
      <c r="H42" s="57"/>
      <c r="I42" s="56"/>
      <c r="J42" s="79">
        <f>SUM(J37:J41)</f>
        <v>0</v>
      </c>
      <c r="K42" s="55"/>
      <c r="L42" s="91"/>
      <c r="M42" s="79">
        <f>SUM(M37:M41)</f>
        <v>911.61225000000002</v>
      </c>
      <c r="N42" s="55"/>
      <c r="O42" s="56"/>
      <c r="P42" s="79">
        <f>SUM(P37:P41)</f>
        <v>911.61225000000002</v>
      </c>
      <c r="Q42" s="55"/>
      <c r="R42" s="56"/>
      <c r="S42" s="79">
        <f>SUM(S37:S41)</f>
        <v>911.61220750000007</v>
      </c>
      <c r="T42" s="58">
        <f>+P42-S42</f>
        <v>4.2499999949541234E-5</v>
      </c>
    </row>
    <row r="43" spans="1:21" x14ac:dyDescent="0.3">
      <c r="D43" s="97"/>
      <c r="J43" s="94"/>
      <c r="M43" s="94"/>
      <c r="U43" s="80">
        <f>+S42/[1]BASES!$G$24</f>
        <v>9.0445148420921877E-3</v>
      </c>
    </row>
    <row r="44" spans="1:21" s="199" customFormat="1" ht="18" x14ac:dyDescent="0.3">
      <c r="A44" s="198" t="s">
        <v>81</v>
      </c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</row>
    <row r="45" spans="1:21" x14ac:dyDescent="0.3">
      <c r="A45" s="128" t="s">
        <v>62</v>
      </c>
    </row>
    <row r="46" spans="1:21" s="14" customFormat="1" x14ac:dyDescent="0.3">
      <c r="A46" s="13" t="s">
        <v>6</v>
      </c>
      <c r="B46" s="36" t="s">
        <v>1</v>
      </c>
      <c r="C46" s="37"/>
      <c r="D46" s="38"/>
      <c r="E46" s="36" t="s">
        <v>2</v>
      </c>
      <c r="F46" s="39"/>
      <c r="G46" s="40"/>
      <c r="H46" s="36" t="s">
        <v>3</v>
      </c>
      <c r="I46" s="41"/>
      <c r="J46" s="41"/>
      <c r="K46" s="191" t="s">
        <v>4</v>
      </c>
      <c r="L46" s="192"/>
      <c r="M46" s="193"/>
      <c r="N46" s="191" t="s">
        <v>0</v>
      </c>
      <c r="O46" s="192"/>
      <c r="P46" s="193"/>
      <c r="Q46" s="191" t="s">
        <v>47</v>
      </c>
      <c r="R46" s="192"/>
      <c r="S46" s="193"/>
      <c r="T46" s="13" t="s">
        <v>7</v>
      </c>
    </row>
    <row r="47" spans="1:21" s="14" customFormat="1" x14ac:dyDescent="0.3">
      <c r="A47" s="42"/>
      <c r="B47" s="43"/>
      <c r="C47" s="44"/>
      <c r="D47" s="73"/>
      <c r="E47" s="46"/>
      <c r="F47" s="47"/>
      <c r="G47" s="74"/>
      <c r="H47" s="45"/>
      <c r="I47" s="48"/>
      <c r="J47" s="74"/>
      <c r="K47" s="49"/>
      <c r="L47" s="50"/>
      <c r="M47" s="74"/>
      <c r="N47" s="49"/>
      <c r="O47" s="50"/>
      <c r="P47" s="74"/>
      <c r="Q47" s="49"/>
      <c r="R47" s="50"/>
      <c r="S47" s="74"/>
      <c r="T47" s="42"/>
    </row>
    <row r="48" spans="1:21" x14ac:dyDescent="0.3">
      <c r="A48" s="51" t="s">
        <v>9</v>
      </c>
      <c r="B48" s="52">
        <v>0</v>
      </c>
      <c r="C48" s="33">
        <v>4.0000000000000002E-4</v>
      </c>
      <c r="D48" s="75">
        <f>+B48*C48</f>
        <v>0</v>
      </c>
      <c r="E48" s="52">
        <v>0</v>
      </c>
      <c r="F48" s="33">
        <v>4.0000000000000002E-4</v>
      </c>
      <c r="G48" s="76">
        <f>+E48*F48</f>
        <v>0</v>
      </c>
      <c r="H48" s="32">
        <v>0</v>
      </c>
      <c r="I48" s="33">
        <v>4.0000000000000002E-4</v>
      </c>
      <c r="J48" s="76">
        <f>+H48*I48</f>
        <v>0</v>
      </c>
      <c r="K48" s="52">
        <f>785188+185823</f>
        <v>971011</v>
      </c>
      <c r="L48" s="89">
        <v>4.0000000000000002E-4</v>
      </c>
      <c r="M48" s="76">
        <f>+K48*L48</f>
        <v>388.40440000000001</v>
      </c>
      <c r="N48" s="52">
        <f>+B48+E48+H48+K48</f>
        <v>971011</v>
      </c>
      <c r="O48" s="33">
        <v>4.0000000000000002E-4</v>
      </c>
      <c r="P48" s="76">
        <f>+N48*O48</f>
        <v>388.40440000000001</v>
      </c>
      <c r="Q48" s="52">
        <f>+BASES!K7</f>
        <v>971011.66</v>
      </c>
      <c r="R48" s="33">
        <v>4.0000000000000002E-4</v>
      </c>
      <c r="S48" s="76">
        <f>+Q48*R48</f>
        <v>388.40466400000003</v>
      </c>
      <c r="T48" s="53">
        <f>+S48-P48</f>
        <v>2.640000000155851E-4</v>
      </c>
    </row>
    <row r="49" spans="1:21" ht="6" customHeight="1" x14ac:dyDescent="0.3">
      <c r="A49" s="51"/>
      <c r="B49" s="52"/>
      <c r="D49" s="75"/>
      <c r="E49" s="52"/>
      <c r="F49" s="33"/>
      <c r="G49" s="76"/>
      <c r="I49" s="33"/>
      <c r="J49" s="76"/>
      <c r="K49" s="52"/>
      <c r="L49" s="89"/>
      <c r="M49" s="76"/>
      <c r="N49" s="52"/>
      <c r="O49" s="33"/>
      <c r="P49" s="76"/>
      <c r="Q49" s="52"/>
      <c r="R49" s="33"/>
      <c r="S49" s="76"/>
      <c r="T49" s="53"/>
    </row>
    <row r="50" spans="1:21" x14ac:dyDescent="0.3">
      <c r="A50" s="51" t="s">
        <v>9</v>
      </c>
      <c r="B50" s="32">
        <f>+B48</f>
        <v>0</v>
      </c>
      <c r="C50" s="77">
        <v>4.4999999999999999E-4</v>
      </c>
      <c r="D50" s="76">
        <f>+B50*C50</f>
        <v>0</v>
      </c>
      <c r="E50" s="32">
        <f>+E48</f>
        <v>0</v>
      </c>
      <c r="F50" s="77">
        <v>4.4999999999999999E-4</v>
      </c>
      <c r="G50" s="76">
        <f>+E50*F50</f>
        <v>0</v>
      </c>
      <c r="H50" s="32">
        <f>+H48</f>
        <v>0</v>
      </c>
      <c r="I50" s="77">
        <v>4.4999999999999999E-4</v>
      </c>
      <c r="J50" s="76">
        <f>+H50*I50</f>
        <v>0</v>
      </c>
      <c r="K50" s="32">
        <f>+K48</f>
        <v>971011</v>
      </c>
      <c r="L50" s="90">
        <v>4.4999999999999999E-4</v>
      </c>
      <c r="M50" s="76">
        <f>+K50*L50</f>
        <v>436.95495</v>
      </c>
      <c r="N50" s="52">
        <f>+B50+E50+H50+K50</f>
        <v>971011</v>
      </c>
      <c r="O50" s="77">
        <v>4.4999999999999999E-4</v>
      </c>
      <c r="P50" s="76">
        <f>+N50*O50</f>
        <v>436.95495</v>
      </c>
      <c r="Q50" s="52">
        <f>+Q48</f>
        <v>971011.66</v>
      </c>
      <c r="R50" s="77">
        <v>4.4999999999999999E-4</v>
      </c>
      <c r="S50" s="76">
        <f>+Q50*R50</f>
        <v>436.95524699999999</v>
      </c>
      <c r="T50" s="53">
        <f>+S50-P50</f>
        <v>2.9699999998911153E-4</v>
      </c>
    </row>
    <row r="51" spans="1:21" x14ac:dyDescent="0.3">
      <c r="A51" s="51"/>
      <c r="B51" s="52"/>
      <c r="D51" s="75"/>
      <c r="E51" s="52"/>
      <c r="F51" s="33"/>
      <c r="G51" s="78"/>
      <c r="I51" s="77"/>
      <c r="J51" s="78"/>
      <c r="K51" s="52"/>
      <c r="L51" s="89"/>
      <c r="M51" s="78">
        <v>1.83</v>
      </c>
      <c r="N51" s="52"/>
      <c r="O51" s="33"/>
      <c r="P51" s="78">
        <v>1.83</v>
      </c>
      <c r="Q51" s="52"/>
      <c r="R51" s="33"/>
      <c r="S51" s="78"/>
      <c r="T51" s="51"/>
    </row>
    <row r="52" spans="1:21" x14ac:dyDescent="0.3">
      <c r="A52" s="54"/>
      <c r="B52" s="55"/>
      <c r="C52" s="56"/>
      <c r="D52" s="79">
        <f>SUM(D47:D51)</f>
        <v>0</v>
      </c>
      <c r="E52" s="55"/>
      <c r="F52" s="56"/>
      <c r="G52" s="79">
        <f>SUM(G47:G51)</f>
        <v>0</v>
      </c>
      <c r="H52" s="57"/>
      <c r="I52" s="56"/>
      <c r="J52" s="79">
        <f>SUM(J47:J51)</f>
        <v>0</v>
      </c>
      <c r="K52" s="55"/>
      <c r="L52" s="91"/>
      <c r="M52" s="79">
        <f>SUM(M47:M51)-0.01</f>
        <v>827.17935</v>
      </c>
      <c r="N52" s="55"/>
      <c r="O52" s="56"/>
      <c r="P52" s="79">
        <f>SUM(P47:P51)-0.01</f>
        <v>827.17935</v>
      </c>
      <c r="Q52" s="55"/>
      <c r="R52" s="56"/>
      <c r="S52" s="79">
        <f>SUM(S47:S51)</f>
        <v>825.35991100000001</v>
      </c>
      <c r="T52" s="58">
        <f>+P52-S52</f>
        <v>1.8194389999999885</v>
      </c>
    </row>
    <row r="53" spans="1:21" x14ac:dyDescent="0.3">
      <c r="D53" s="97"/>
      <c r="J53" s="94"/>
      <c r="M53" s="94"/>
      <c r="U53" s="80" t="e">
        <f>+S52/[1]BASES!$S$24</f>
        <v>#DIV/0!</v>
      </c>
    </row>
    <row r="54" spans="1:21" s="199" customFormat="1" ht="18" x14ac:dyDescent="0.3">
      <c r="A54" s="198" t="s">
        <v>80</v>
      </c>
      <c r="B54" s="198"/>
      <c r="C54" s="198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</row>
    <row r="55" spans="1:21" x14ac:dyDescent="0.3">
      <c r="A55" s="128" t="s">
        <v>62</v>
      </c>
    </row>
    <row r="56" spans="1:21" s="14" customFormat="1" x14ac:dyDescent="0.3">
      <c r="A56" s="13" t="s">
        <v>6</v>
      </c>
      <c r="B56" s="36" t="s">
        <v>1</v>
      </c>
      <c r="C56" s="37"/>
      <c r="D56" s="38"/>
      <c r="E56" s="36" t="s">
        <v>2</v>
      </c>
      <c r="F56" s="39"/>
      <c r="G56" s="40"/>
      <c r="H56" s="36" t="s">
        <v>3</v>
      </c>
      <c r="I56" s="41"/>
      <c r="J56" s="41"/>
      <c r="K56" s="191" t="s">
        <v>4</v>
      </c>
      <c r="L56" s="192"/>
      <c r="M56" s="193"/>
      <c r="N56" s="191" t="s">
        <v>0</v>
      </c>
      <c r="O56" s="192"/>
      <c r="P56" s="193"/>
      <c r="Q56" s="191" t="s">
        <v>47</v>
      </c>
      <c r="R56" s="192"/>
      <c r="S56" s="193"/>
      <c r="T56" s="13" t="s">
        <v>7</v>
      </c>
    </row>
    <row r="57" spans="1:21" s="14" customFormat="1" x14ac:dyDescent="0.3">
      <c r="A57" s="42"/>
      <c r="B57" s="43"/>
      <c r="C57" s="44"/>
      <c r="D57" s="73"/>
      <c r="E57" s="46"/>
      <c r="F57" s="47"/>
      <c r="G57" s="74"/>
      <c r="H57" s="45"/>
      <c r="I57" s="48"/>
      <c r="J57" s="74"/>
      <c r="K57" s="49"/>
      <c r="L57" s="50"/>
      <c r="M57" s="74"/>
      <c r="N57" s="49"/>
      <c r="O57" s="50"/>
      <c r="P57" s="74"/>
      <c r="Q57" s="49"/>
      <c r="R57" s="50"/>
      <c r="S57" s="74"/>
      <c r="T57" s="42"/>
    </row>
    <row r="58" spans="1:21" x14ac:dyDescent="0.3">
      <c r="A58" s="51" t="s">
        <v>9</v>
      </c>
      <c r="B58" s="52">
        <v>0</v>
      </c>
      <c r="C58" s="33">
        <v>4.0000000000000002E-4</v>
      </c>
      <c r="D58" s="75">
        <f>+B58*C58</f>
        <v>0</v>
      </c>
      <c r="E58" s="52">
        <v>184209</v>
      </c>
      <c r="F58" s="33">
        <v>4.0000000000000002E-4</v>
      </c>
      <c r="G58" s="76">
        <f>+E58*F58</f>
        <v>73.683599999999998</v>
      </c>
      <c r="H58" s="32">
        <v>1803759</v>
      </c>
      <c r="I58" s="33">
        <v>4.0000000000000002E-4</v>
      </c>
      <c r="J58" s="76">
        <f>+H58*I58</f>
        <v>721.50360000000001</v>
      </c>
      <c r="K58" s="52">
        <v>633462</v>
      </c>
      <c r="L58" s="89">
        <v>4.0000000000000002E-4</v>
      </c>
      <c r="M58" s="76">
        <f>+K58*L58</f>
        <v>253.38480000000001</v>
      </c>
      <c r="N58" s="52">
        <f>+B58+E58+H58+K58</f>
        <v>2621430</v>
      </c>
      <c r="O58" s="33">
        <v>4.0000000000000002E-4</v>
      </c>
      <c r="P58" s="76">
        <f>+N58*O58</f>
        <v>1048.5720000000001</v>
      </c>
      <c r="Q58" s="52">
        <f>+BASES!M7</f>
        <v>2621430.75</v>
      </c>
      <c r="R58" s="33">
        <v>4.0000000000000002E-4</v>
      </c>
      <c r="S58" s="76">
        <f>+Q58*R58</f>
        <v>1048.5723</v>
      </c>
      <c r="T58" s="53">
        <f>+S58-P58</f>
        <v>2.9999999992469384E-4</v>
      </c>
    </row>
    <row r="59" spans="1:21" ht="6" customHeight="1" x14ac:dyDescent="0.3">
      <c r="A59" s="51"/>
      <c r="B59" s="52"/>
      <c r="D59" s="75"/>
      <c r="E59" s="52"/>
      <c r="F59" s="33"/>
      <c r="G59" s="76"/>
      <c r="I59" s="33"/>
      <c r="J59" s="76"/>
      <c r="K59" s="52"/>
      <c r="L59" s="89"/>
      <c r="M59" s="76"/>
      <c r="N59" s="52"/>
      <c r="O59" s="33"/>
      <c r="P59" s="76"/>
      <c r="Q59" s="52"/>
      <c r="R59" s="33"/>
      <c r="S59" s="76"/>
      <c r="T59" s="53"/>
    </row>
    <row r="60" spans="1:21" x14ac:dyDescent="0.3">
      <c r="A60" s="51" t="s">
        <v>9</v>
      </c>
      <c r="B60" s="32">
        <f>+B58</f>
        <v>0</v>
      </c>
      <c r="C60" s="77">
        <v>4.4999999999999999E-4</v>
      </c>
      <c r="D60" s="76">
        <f>+B60*C60</f>
        <v>0</v>
      </c>
      <c r="E60" s="32">
        <f>+E58</f>
        <v>184209</v>
      </c>
      <c r="F60" s="77">
        <v>4.4999999999999999E-4</v>
      </c>
      <c r="G60" s="76">
        <f>+E60*F60</f>
        <v>82.894049999999993</v>
      </c>
      <c r="H60" s="32">
        <f>+H58</f>
        <v>1803759</v>
      </c>
      <c r="I60" s="77">
        <v>4.4999999999999999E-4</v>
      </c>
      <c r="J60" s="76">
        <f>+H60*I60</f>
        <v>811.69155000000001</v>
      </c>
      <c r="K60" s="32">
        <f>+K58</f>
        <v>633462</v>
      </c>
      <c r="L60" s="90">
        <v>4.4999999999999999E-4</v>
      </c>
      <c r="M60" s="76">
        <f>+K60*L60</f>
        <v>285.05790000000002</v>
      </c>
      <c r="N60" s="52">
        <f>+B60+E60+H60+K60</f>
        <v>2621430</v>
      </c>
      <c r="O60" s="77">
        <v>4.4999999999999999E-4</v>
      </c>
      <c r="P60" s="76">
        <f>+N60*O60</f>
        <v>1179.6434999999999</v>
      </c>
      <c r="Q60" s="52">
        <f>+Q58</f>
        <v>2621430.75</v>
      </c>
      <c r="R60" s="77">
        <v>4.4999999999999999E-4</v>
      </c>
      <c r="S60" s="76">
        <f>+Q60*R60</f>
        <v>1179.6438375</v>
      </c>
      <c r="T60" s="53">
        <f>+S60-P60</f>
        <v>3.3750000011423253E-4</v>
      </c>
    </row>
    <row r="61" spans="1:21" x14ac:dyDescent="0.3">
      <c r="A61" s="51"/>
      <c r="B61" s="52"/>
      <c r="D61" s="75"/>
      <c r="E61" s="52"/>
      <c r="F61" s="33"/>
      <c r="G61" s="78"/>
      <c r="I61" s="77"/>
      <c r="J61" s="78"/>
      <c r="K61" s="52"/>
      <c r="L61" s="89"/>
      <c r="M61" s="78">
        <v>0.81</v>
      </c>
      <c r="N61" s="52"/>
      <c r="O61" s="33"/>
      <c r="P61" s="78">
        <v>0.8</v>
      </c>
      <c r="Q61" s="52"/>
      <c r="R61" s="33"/>
      <c r="S61" s="78"/>
      <c r="T61" s="51"/>
    </row>
    <row r="62" spans="1:21" x14ac:dyDescent="0.3">
      <c r="A62" s="54"/>
      <c r="B62" s="55"/>
      <c r="C62" s="56"/>
      <c r="D62" s="79">
        <f>SUM(D57:D61)</f>
        <v>0</v>
      </c>
      <c r="E62" s="55"/>
      <c r="F62" s="56"/>
      <c r="G62" s="79">
        <f>SUM(G57:G61)-0.01</f>
        <v>156.56765000000001</v>
      </c>
      <c r="H62" s="57"/>
      <c r="I62" s="56"/>
      <c r="J62" s="79">
        <f>SUM(J57:J61)-0.01</f>
        <v>1533.18515</v>
      </c>
      <c r="K62" s="55"/>
      <c r="L62" s="91"/>
      <c r="M62" s="79">
        <f>SUM(M57:M61)</f>
        <v>539.2527</v>
      </c>
      <c r="N62" s="55"/>
      <c r="O62" s="56"/>
      <c r="P62" s="79">
        <f>SUM(P57:P61)-0.01</f>
        <v>2229.0055000000002</v>
      </c>
      <c r="Q62" s="55"/>
      <c r="R62" s="56"/>
      <c r="S62" s="79">
        <f>SUM(S57:S61)</f>
        <v>2228.2161375000001</v>
      </c>
      <c r="T62" s="58">
        <f>+P62-S62</f>
        <v>0.78936250000015207</v>
      </c>
    </row>
    <row r="63" spans="1:21" s="147" customFormat="1" x14ac:dyDescent="0.3">
      <c r="B63" s="146"/>
      <c r="C63" s="148"/>
      <c r="D63" s="149"/>
      <c r="E63" s="146"/>
      <c r="G63" s="145"/>
      <c r="H63" s="146"/>
      <c r="J63" s="133"/>
      <c r="K63" s="146"/>
      <c r="M63" s="94"/>
      <c r="N63" s="146"/>
      <c r="Q63" s="146"/>
      <c r="U63" s="150" t="e">
        <f>+S62/[1]BASES!$S$24</f>
        <v>#DIV/0!</v>
      </c>
    </row>
    <row r="64" spans="1:21" s="199" customFormat="1" ht="18" x14ac:dyDescent="0.3">
      <c r="A64" s="198" t="s">
        <v>75</v>
      </c>
      <c r="B64" s="198"/>
      <c r="C64" s="198"/>
      <c r="D64" s="198"/>
      <c r="E64" s="198"/>
      <c r="F64" s="198"/>
      <c r="G64" s="198"/>
      <c r="H64" s="198"/>
      <c r="I64" s="198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</row>
    <row r="65" spans="1:23" x14ac:dyDescent="0.3">
      <c r="A65" s="128" t="s">
        <v>62</v>
      </c>
    </row>
    <row r="66" spans="1:23" s="14" customFormat="1" x14ac:dyDescent="0.3">
      <c r="A66" s="13" t="s">
        <v>6</v>
      </c>
      <c r="B66" s="36" t="s">
        <v>1</v>
      </c>
      <c r="C66" s="37"/>
      <c r="D66" s="38"/>
      <c r="E66" s="36" t="s">
        <v>2</v>
      </c>
      <c r="F66" s="39"/>
      <c r="G66" s="40"/>
      <c r="H66" s="36" t="s">
        <v>3</v>
      </c>
      <c r="I66" s="41"/>
      <c r="J66" s="41"/>
      <c r="K66" s="191" t="s">
        <v>4</v>
      </c>
      <c r="L66" s="192"/>
      <c r="M66" s="193"/>
      <c r="N66" s="191" t="s">
        <v>0</v>
      </c>
      <c r="O66" s="192"/>
      <c r="P66" s="193"/>
      <c r="Q66" s="191" t="s">
        <v>47</v>
      </c>
      <c r="R66" s="192"/>
      <c r="S66" s="193"/>
      <c r="T66" s="13" t="s">
        <v>7</v>
      </c>
    </row>
    <row r="67" spans="1:23" s="14" customFormat="1" x14ac:dyDescent="0.3">
      <c r="A67" s="42"/>
      <c r="B67" s="43"/>
      <c r="C67" s="44"/>
      <c r="D67" s="73"/>
      <c r="E67" s="46"/>
      <c r="F67" s="47"/>
      <c r="G67" s="74"/>
      <c r="H67" s="45"/>
      <c r="I67" s="48"/>
      <c r="J67" s="74"/>
      <c r="K67" s="49"/>
      <c r="L67" s="50"/>
      <c r="M67" s="74"/>
      <c r="N67" s="49"/>
      <c r="O67" s="50"/>
      <c r="P67" s="74"/>
      <c r="Q67" s="49"/>
      <c r="R67" s="50"/>
      <c r="S67" s="74"/>
      <c r="T67" s="42"/>
    </row>
    <row r="68" spans="1:23" x14ac:dyDescent="0.3">
      <c r="A68" s="51" t="s">
        <v>9</v>
      </c>
      <c r="B68" s="52">
        <v>0</v>
      </c>
      <c r="C68" s="33">
        <v>4.0000000000000002E-4</v>
      </c>
      <c r="D68" s="75">
        <f>+B68*C68</f>
        <v>0</v>
      </c>
      <c r="E68" s="52">
        <v>0</v>
      </c>
      <c r="F68" s="33">
        <v>4.0000000000000002E-4</v>
      </c>
      <c r="G68" s="76">
        <f>+E68*F68</f>
        <v>0</v>
      </c>
      <c r="H68" s="32">
        <v>0</v>
      </c>
      <c r="I68" s="33">
        <v>4.0000000000000002E-4</v>
      </c>
      <c r="J68" s="76">
        <f>+H68*I68</f>
        <v>0</v>
      </c>
      <c r="K68" s="52">
        <v>1312035</v>
      </c>
      <c r="L68" s="89">
        <v>4.0000000000000002E-4</v>
      </c>
      <c r="M68" s="76">
        <f>+K68*L68</f>
        <v>524.81400000000008</v>
      </c>
      <c r="N68" s="52">
        <f>+B68+E68+H68+K68</f>
        <v>1312035</v>
      </c>
      <c r="O68" s="33">
        <v>4.0000000000000002E-4</v>
      </c>
      <c r="P68" s="76">
        <f>+N68*O68</f>
        <v>524.81400000000008</v>
      </c>
      <c r="Q68" s="52">
        <f>+BASES!O7</f>
        <v>1312035.02</v>
      </c>
      <c r="R68" s="33">
        <v>4.0000000000000002E-4</v>
      </c>
      <c r="S68" s="76">
        <f>+Q68*R68</f>
        <v>524.81400800000006</v>
      </c>
      <c r="T68" s="53">
        <f>+S68-P68</f>
        <v>7.9999999798019417E-6</v>
      </c>
    </row>
    <row r="69" spans="1:23" ht="6" customHeight="1" x14ac:dyDescent="0.3">
      <c r="A69" s="51"/>
      <c r="B69" s="52"/>
      <c r="D69" s="75"/>
      <c r="E69" s="52"/>
      <c r="F69" s="33"/>
      <c r="G69" s="76"/>
      <c r="I69" s="33"/>
      <c r="J69" s="76"/>
      <c r="K69" s="52"/>
      <c r="L69" s="89"/>
      <c r="M69" s="76"/>
      <c r="N69" s="52"/>
      <c r="O69" s="33"/>
      <c r="P69" s="76"/>
      <c r="Q69" s="52"/>
      <c r="R69" s="33"/>
      <c r="S69" s="76"/>
      <c r="T69" s="53"/>
    </row>
    <row r="70" spans="1:23" x14ac:dyDescent="0.3">
      <c r="A70" s="51" t="s">
        <v>9</v>
      </c>
      <c r="B70" s="32">
        <f>+B68</f>
        <v>0</v>
      </c>
      <c r="C70" s="77">
        <v>4.4999999999999999E-4</v>
      </c>
      <c r="D70" s="76">
        <f>+B70*C70</f>
        <v>0</v>
      </c>
      <c r="E70" s="32">
        <f>+E68</f>
        <v>0</v>
      </c>
      <c r="F70" s="77">
        <v>4.4999999999999999E-4</v>
      </c>
      <c r="G70" s="76">
        <f>+E70*F70</f>
        <v>0</v>
      </c>
      <c r="H70" s="32">
        <f>+H68</f>
        <v>0</v>
      </c>
      <c r="I70" s="77">
        <v>4.4999999999999999E-4</v>
      </c>
      <c r="J70" s="76">
        <f>+H70*I70</f>
        <v>0</v>
      </c>
      <c r="K70" s="32">
        <f>+K68</f>
        <v>1312035</v>
      </c>
      <c r="L70" s="90">
        <v>4.4999999999999999E-4</v>
      </c>
      <c r="M70" s="76">
        <f>+K70*L70</f>
        <v>590.41575</v>
      </c>
      <c r="N70" s="52">
        <f>+B70+E70+H70+K70</f>
        <v>1312035</v>
      </c>
      <c r="O70" s="77">
        <v>4.4999999999999999E-4</v>
      </c>
      <c r="P70" s="76">
        <f>+N70*O70</f>
        <v>590.41575</v>
      </c>
      <c r="Q70" s="52">
        <f>+Q68</f>
        <v>1312035.02</v>
      </c>
      <c r="R70" s="77">
        <v>4.4999999999999999E-4</v>
      </c>
      <c r="S70" s="76">
        <f>+Q70*R70</f>
        <v>590.41575899999998</v>
      </c>
      <c r="T70" s="53">
        <f>+S70-P70</f>
        <v>8.9999999772771844E-6</v>
      </c>
    </row>
    <row r="71" spans="1:23" x14ac:dyDescent="0.3">
      <c r="A71" s="51"/>
      <c r="B71" s="52"/>
      <c r="D71" s="75"/>
      <c r="E71" s="52"/>
      <c r="F71" s="33"/>
      <c r="G71" s="78">
        <v>907.36</v>
      </c>
      <c r="I71" s="77"/>
      <c r="J71" s="78">
        <v>51.05</v>
      </c>
      <c r="K71" s="52"/>
      <c r="L71" s="89"/>
      <c r="M71" s="78">
        <f>-907.36-51.05+0.7</f>
        <v>-957.70999999999992</v>
      </c>
      <c r="N71" s="52"/>
      <c r="O71" s="33"/>
      <c r="P71" s="78">
        <v>0.7</v>
      </c>
      <c r="Q71" s="52"/>
      <c r="R71" s="33"/>
      <c r="S71" s="78"/>
      <c r="T71" s="51"/>
    </row>
    <row r="72" spans="1:23" x14ac:dyDescent="0.3">
      <c r="A72" s="54"/>
      <c r="B72" s="55"/>
      <c r="C72" s="56"/>
      <c r="D72" s="79">
        <f>SUM(D67:D71)</f>
        <v>0</v>
      </c>
      <c r="E72" s="55"/>
      <c r="F72" s="56"/>
      <c r="G72" s="79">
        <f>SUM(G67:G71)</f>
        <v>907.36</v>
      </c>
      <c r="H72" s="57"/>
      <c r="I72" s="56"/>
      <c r="J72" s="79">
        <f>SUM(J67:J71)</f>
        <v>51.05</v>
      </c>
      <c r="K72" s="55"/>
      <c r="L72" s="91"/>
      <c r="M72" s="79">
        <f>SUM(M67:M71)</f>
        <v>157.51975000000004</v>
      </c>
      <c r="N72" s="55"/>
      <c r="O72" s="56"/>
      <c r="P72" s="79">
        <f>SUM(P67:P71)</f>
        <v>1115.92975</v>
      </c>
      <c r="Q72" s="55"/>
      <c r="R72" s="56"/>
      <c r="S72" s="79">
        <f>SUM(S67:S71)</f>
        <v>1115.229767</v>
      </c>
      <c r="T72" s="58">
        <f>+P72-S72</f>
        <v>0.69998299999997471</v>
      </c>
    </row>
    <row r="73" spans="1:23" s="206" customFormat="1" x14ac:dyDescent="0.3">
      <c r="B73" s="207"/>
      <c r="C73" s="89"/>
      <c r="D73" s="208"/>
      <c r="E73" s="207"/>
      <c r="G73" s="209"/>
      <c r="H73" s="210"/>
      <c r="I73" s="211"/>
      <c r="J73" s="212"/>
      <c r="K73" s="210"/>
      <c r="L73" s="211"/>
      <c r="M73" s="213"/>
      <c r="N73" s="207"/>
      <c r="Q73" s="207"/>
      <c r="U73" s="214" t="e">
        <f>+S72/[1]BASES!$S$24</f>
        <v>#DIV/0!</v>
      </c>
    </row>
    <row r="74" spans="1:23" s="199" customFormat="1" ht="18" x14ac:dyDescent="0.3">
      <c r="A74" s="198" t="s">
        <v>70</v>
      </c>
      <c r="B74" s="198"/>
      <c r="C74" s="198"/>
      <c r="D74" s="198"/>
      <c r="E74" s="198"/>
      <c r="F74" s="198"/>
      <c r="G74" s="198"/>
      <c r="H74" s="198"/>
      <c r="I74" s="198"/>
      <c r="J74" s="198"/>
      <c r="K74" s="198"/>
      <c r="L74" s="198"/>
      <c r="M74" s="198"/>
      <c r="N74" s="198"/>
      <c r="O74" s="198"/>
      <c r="P74" s="198"/>
      <c r="Q74" s="198"/>
      <c r="R74" s="198"/>
      <c r="S74" s="198"/>
      <c r="T74" s="198"/>
    </row>
    <row r="75" spans="1:23" x14ac:dyDescent="0.3">
      <c r="A75" s="128" t="s">
        <v>63</v>
      </c>
    </row>
    <row r="76" spans="1:23" s="14" customFormat="1" x14ac:dyDescent="0.3">
      <c r="A76" s="13" t="s">
        <v>6</v>
      </c>
      <c r="B76" s="36" t="s">
        <v>1</v>
      </c>
      <c r="C76" s="37"/>
      <c r="D76" s="38"/>
      <c r="E76" s="36" t="s">
        <v>2</v>
      </c>
      <c r="F76" s="39"/>
      <c r="G76" s="40"/>
      <c r="H76" s="36" t="s">
        <v>3</v>
      </c>
      <c r="I76" s="41"/>
      <c r="J76" s="41"/>
      <c r="K76" s="191" t="s">
        <v>4</v>
      </c>
      <c r="L76" s="192"/>
      <c r="M76" s="193"/>
      <c r="N76" s="191" t="s">
        <v>0</v>
      </c>
      <c r="O76" s="192"/>
      <c r="P76" s="193"/>
      <c r="Q76" s="191" t="s">
        <v>47</v>
      </c>
      <c r="R76" s="192"/>
      <c r="S76" s="193"/>
      <c r="T76" s="13" t="s">
        <v>7</v>
      </c>
    </row>
    <row r="77" spans="1:23" s="14" customFormat="1" x14ac:dyDescent="0.3">
      <c r="A77" s="42"/>
      <c r="B77" s="43"/>
      <c r="C77" s="44"/>
      <c r="D77" s="73"/>
      <c r="E77" s="46"/>
      <c r="F77" s="47"/>
      <c r="G77" s="74"/>
      <c r="H77" s="45"/>
      <c r="I77" s="48"/>
      <c r="J77" s="74"/>
      <c r="K77" s="49"/>
      <c r="L77" s="50"/>
      <c r="M77" s="74"/>
      <c r="N77" s="49"/>
      <c r="O77" s="50"/>
      <c r="P77" s="74"/>
      <c r="Q77" s="49"/>
      <c r="R77" s="50"/>
      <c r="S77" s="74"/>
      <c r="T77" s="42"/>
      <c r="V77" s="144" t="s">
        <v>95</v>
      </c>
    </row>
    <row r="78" spans="1:23" x14ac:dyDescent="0.3">
      <c r="A78" s="51" t="s">
        <v>84</v>
      </c>
      <c r="B78" s="52">
        <v>0</v>
      </c>
      <c r="C78" s="33">
        <v>5.9999999999999995E-4</v>
      </c>
      <c r="D78" s="75">
        <f>+B78*C78</f>
        <v>0</v>
      </c>
      <c r="E78" s="52">
        <v>0</v>
      </c>
      <c r="F78" s="33">
        <v>5.9999999999999995E-4</v>
      </c>
      <c r="G78" s="76">
        <f>+E78*F78</f>
        <v>0</v>
      </c>
      <c r="H78" s="32">
        <v>0</v>
      </c>
      <c r="I78" s="33">
        <v>5.9999999999999995E-4</v>
      </c>
      <c r="J78" s="76">
        <f>+H78*I78</f>
        <v>0</v>
      </c>
      <c r="K78" s="52">
        <f>68950+19422</f>
        <v>88372</v>
      </c>
      <c r="L78" s="33">
        <v>5.9999999999999995E-4</v>
      </c>
      <c r="M78" s="76">
        <f>+K78*L78</f>
        <v>53.023199999999996</v>
      </c>
      <c r="N78" s="52">
        <f>+B78+E78+H78+K78</f>
        <v>88372</v>
      </c>
      <c r="O78" s="33">
        <v>5.9999999999999995E-4</v>
      </c>
      <c r="P78" s="76">
        <f>+N78*O78</f>
        <v>53.023199999999996</v>
      </c>
      <c r="Q78" s="52">
        <f>65818.5+7058.32</f>
        <v>72876.820000000007</v>
      </c>
      <c r="R78" s="33">
        <v>5.9999999999999995E-4</v>
      </c>
      <c r="S78" s="76">
        <f>+Q78*R78</f>
        <v>43.726092000000001</v>
      </c>
      <c r="T78" s="53">
        <f>+S78-P78</f>
        <v>-9.2971079999999944</v>
      </c>
      <c r="U78" s="35" t="s">
        <v>64</v>
      </c>
      <c r="V78" s="32">
        <f>140665.53+30000</f>
        <v>170665.53</v>
      </c>
      <c r="W78" s="172" t="s">
        <v>98</v>
      </c>
    </row>
    <row r="79" spans="1:23" ht="6" customHeight="1" x14ac:dyDescent="0.3">
      <c r="A79" s="51"/>
      <c r="B79" s="52"/>
      <c r="D79" s="75"/>
      <c r="E79" s="52"/>
      <c r="F79" s="33"/>
      <c r="G79" s="76"/>
      <c r="I79" s="33"/>
      <c r="J79" s="76"/>
      <c r="K79" s="52"/>
      <c r="L79" s="33"/>
      <c r="M79" s="76"/>
      <c r="N79" s="52"/>
      <c r="O79" s="33"/>
      <c r="P79" s="76"/>
      <c r="Q79" s="52"/>
      <c r="R79" s="33"/>
      <c r="S79" s="76"/>
      <c r="T79" s="53"/>
    </row>
    <row r="80" spans="1:23" x14ac:dyDescent="0.3">
      <c r="A80" s="51" t="s">
        <v>9</v>
      </c>
      <c r="B80" s="32">
        <f>+B78</f>
        <v>0</v>
      </c>
      <c r="C80" s="33">
        <v>5.9999999999999995E-4</v>
      </c>
      <c r="D80" s="76">
        <f>+B80*C80</f>
        <v>0</v>
      </c>
      <c r="E80" s="32">
        <v>0</v>
      </c>
      <c r="F80" s="33">
        <v>5.9999999999999995E-4</v>
      </c>
      <c r="G80" s="76">
        <f>+E80*F80</f>
        <v>0</v>
      </c>
      <c r="H80" s="32">
        <f>+H78</f>
        <v>0</v>
      </c>
      <c r="I80" s="33">
        <v>5.9999999999999995E-4</v>
      </c>
      <c r="J80" s="76">
        <f>+H80*I80</f>
        <v>0</v>
      </c>
      <c r="K80" s="32">
        <f>16633+4389</f>
        <v>21022</v>
      </c>
      <c r="L80" s="33">
        <v>5.9999999999999995E-4</v>
      </c>
      <c r="M80" s="76">
        <f>+K80*L80</f>
        <v>12.613199999999999</v>
      </c>
      <c r="N80" s="52">
        <f>+B80+E80+H80+K80</f>
        <v>21022</v>
      </c>
      <c r="O80" s="33">
        <v>5.9999999999999995E-4</v>
      </c>
      <c r="P80" s="76">
        <f>+N80*O80</f>
        <v>12.613199999999999</v>
      </c>
      <c r="Q80" s="52">
        <f>+BASES!Q7-V78</f>
        <v>28974.079999999987</v>
      </c>
      <c r="R80" s="33">
        <v>5.9999999999999995E-4</v>
      </c>
      <c r="S80" s="76">
        <f>+Q80*R80</f>
        <v>17.384447999999992</v>
      </c>
      <c r="T80" s="53">
        <f>+S80-P80</f>
        <v>4.7712479999999928</v>
      </c>
      <c r="U80" s="35" t="s">
        <v>65</v>
      </c>
      <c r="V80" s="172" t="s">
        <v>97</v>
      </c>
    </row>
    <row r="81" spans="1:21" x14ac:dyDescent="0.3">
      <c r="A81" s="51"/>
      <c r="B81" s="52"/>
      <c r="C81" s="101"/>
      <c r="D81" s="102"/>
      <c r="E81" s="52"/>
      <c r="F81" s="101"/>
      <c r="G81" s="129"/>
      <c r="I81" s="130"/>
      <c r="J81" s="129"/>
      <c r="K81" s="52"/>
      <c r="L81" s="131"/>
      <c r="M81" s="129">
        <v>0.28999999999999998</v>
      </c>
      <c r="N81" s="52"/>
      <c r="O81" s="101"/>
      <c r="P81" s="129"/>
      <c r="Q81" s="52"/>
      <c r="R81" s="101"/>
      <c r="S81" s="129"/>
      <c r="T81" s="51"/>
    </row>
    <row r="82" spans="1:21" x14ac:dyDescent="0.3">
      <c r="A82" s="54"/>
      <c r="B82" s="55"/>
      <c r="C82" s="56"/>
      <c r="D82" s="79">
        <f>SUM(D77:D81)</f>
        <v>0</v>
      </c>
      <c r="E82" s="55"/>
      <c r="F82" s="56"/>
      <c r="G82" s="79">
        <f>SUM(G77:G81)+0.01</f>
        <v>0.01</v>
      </c>
      <c r="H82" s="57"/>
      <c r="I82" s="56"/>
      <c r="J82" s="79">
        <f>SUM(J77:J81)</f>
        <v>0</v>
      </c>
      <c r="K82" s="55"/>
      <c r="L82" s="91"/>
      <c r="M82" s="79">
        <f>SUM(M77:M81)-0.01</f>
        <v>65.916399999999996</v>
      </c>
      <c r="N82" s="55"/>
      <c r="O82" s="56"/>
      <c r="P82" s="79">
        <f>SUM(P77:P81)</f>
        <v>65.636399999999995</v>
      </c>
      <c r="Q82" s="55"/>
      <c r="R82" s="56"/>
      <c r="S82" s="79">
        <f>SUM(S77:S81)</f>
        <v>61.110539999999993</v>
      </c>
      <c r="T82" s="58">
        <f>+P82-S82</f>
        <v>4.5258600000000015</v>
      </c>
    </row>
    <row r="83" spans="1:21" x14ac:dyDescent="0.3">
      <c r="D83" s="75"/>
      <c r="G83" s="97"/>
      <c r="J83" s="94"/>
      <c r="M83" s="212"/>
      <c r="U83" s="80">
        <f>+S82/[1]BASES!$I$24</f>
        <v>3.4043838093014624E-5</v>
      </c>
    </row>
    <row r="84" spans="1:21" s="31" customFormat="1" ht="18" x14ac:dyDescent="0.3">
      <c r="A84" s="190" t="s">
        <v>68</v>
      </c>
      <c r="B84" s="190"/>
      <c r="C84" s="190"/>
      <c r="D84" s="190"/>
      <c r="E84" s="190"/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0"/>
    </row>
    <row r="85" spans="1:21" x14ac:dyDescent="0.3">
      <c r="A85" s="128" t="s">
        <v>62</v>
      </c>
    </row>
    <row r="86" spans="1:21" s="14" customFormat="1" x14ac:dyDescent="0.3">
      <c r="A86" s="13" t="s">
        <v>6</v>
      </c>
      <c r="B86" s="36" t="s">
        <v>1</v>
      </c>
      <c r="C86" s="37"/>
      <c r="D86" s="38"/>
      <c r="E86" s="36" t="s">
        <v>2</v>
      </c>
      <c r="F86" s="39"/>
      <c r="G86" s="40"/>
      <c r="H86" s="36" t="s">
        <v>3</v>
      </c>
      <c r="I86" s="41"/>
      <c r="J86" s="41"/>
      <c r="K86" s="191" t="s">
        <v>4</v>
      </c>
      <c r="L86" s="192"/>
      <c r="M86" s="193"/>
      <c r="N86" s="191" t="s">
        <v>0</v>
      </c>
      <c r="O86" s="192"/>
      <c r="P86" s="193"/>
      <c r="Q86" s="191" t="s">
        <v>47</v>
      </c>
      <c r="R86" s="192"/>
      <c r="S86" s="193"/>
      <c r="T86" s="13" t="s">
        <v>7</v>
      </c>
    </row>
    <row r="87" spans="1:21" s="14" customFormat="1" x14ac:dyDescent="0.3">
      <c r="A87" s="42"/>
      <c r="B87" s="43"/>
      <c r="C87" s="44"/>
      <c r="D87" s="73"/>
      <c r="E87" s="46"/>
      <c r="F87" s="47"/>
      <c r="G87" s="74"/>
      <c r="H87" s="45"/>
      <c r="I87" s="48"/>
      <c r="J87" s="74"/>
      <c r="K87" s="49"/>
      <c r="L87" s="50"/>
      <c r="M87" s="74"/>
      <c r="N87" s="49"/>
      <c r="O87" s="50"/>
      <c r="P87" s="74"/>
      <c r="Q87" s="49"/>
      <c r="R87" s="50"/>
      <c r="S87" s="74"/>
      <c r="T87" s="42"/>
    </row>
    <row r="88" spans="1:21" x14ac:dyDescent="0.3">
      <c r="A88" s="51" t="s">
        <v>9</v>
      </c>
      <c r="B88" s="52">
        <v>74393.240000000005</v>
      </c>
      <c r="C88" s="33">
        <v>4.0000000000000002E-4</v>
      </c>
      <c r="D88" s="75">
        <f>+B88*C88</f>
        <v>29.757296000000004</v>
      </c>
      <c r="E88" s="52">
        <v>20808.27</v>
      </c>
      <c r="F88" s="33">
        <v>4.0000000000000002E-4</v>
      </c>
      <c r="G88" s="76">
        <f>+E88*F88</f>
        <v>8.3233080000000008</v>
      </c>
      <c r="H88" s="32">
        <v>0</v>
      </c>
      <c r="I88" s="33">
        <v>4.0000000000000002E-4</v>
      </c>
      <c r="J88" s="76">
        <f>+H88*I88</f>
        <v>0</v>
      </c>
      <c r="K88" s="52">
        <v>2100</v>
      </c>
      <c r="L88" s="89">
        <v>4.0000000000000002E-4</v>
      </c>
      <c r="M88" s="76">
        <f>+K88*L88</f>
        <v>0.84000000000000008</v>
      </c>
      <c r="N88" s="52">
        <f>+B88+E88+H88+K88</f>
        <v>97301.510000000009</v>
      </c>
      <c r="O88" s="33">
        <v>4.0000000000000002E-4</v>
      </c>
      <c r="P88" s="76">
        <f>+N88*O88</f>
        <v>38.920604000000004</v>
      </c>
      <c r="Q88" s="52">
        <f>+BASES!S7</f>
        <v>97301.510000000009</v>
      </c>
      <c r="R88" s="33">
        <v>4.0000000000000002E-4</v>
      </c>
      <c r="S88" s="76">
        <f>+Q88*R88</f>
        <v>38.920604000000004</v>
      </c>
      <c r="T88" s="53">
        <f>+S88-P88</f>
        <v>0</v>
      </c>
    </row>
    <row r="89" spans="1:21" ht="6" customHeight="1" x14ac:dyDescent="0.3">
      <c r="A89" s="51"/>
      <c r="B89" s="52"/>
      <c r="D89" s="75"/>
      <c r="E89" s="52"/>
      <c r="F89" s="33"/>
      <c r="G89" s="76"/>
      <c r="I89" s="33"/>
      <c r="J89" s="76"/>
      <c r="K89" s="52"/>
      <c r="L89" s="89"/>
      <c r="M89" s="76"/>
      <c r="N89" s="52"/>
      <c r="O89" s="33"/>
      <c r="P89" s="76"/>
      <c r="Q89" s="52"/>
      <c r="R89" s="33"/>
      <c r="S89" s="76"/>
      <c r="T89" s="53"/>
    </row>
    <row r="90" spans="1:21" x14ac:dyDescent="0.3">
      <c r="A90" s="51" t="s">
        <v>9</v>
      </c>
      <c r="B90" s="32">
        <f>+B88</f>
        <v>74393.240000000005</v>
      </c>
      <c r="C90" s="77">
        <v>4.4999999999999999E-4</v>
      </c>
      <c r="D90" s="76">
        <f>+B90*C90</f>
        <v>33.476958000000003</v>
      </c>
      <c r="E90" s="32">
        <f>+E88</f>
        <v>20808.27</v>
      </c>
      <c r="F90" s="77">
        <v>4.4999999999999999E-4</v>
      </c>
      <c r="G90" s="76">
        <f>+E90*F90</f>
        <v>9.3637215000000005</v>
      </c>
      <c r="H90" s="32">
        <f>+H88</f>
        <v>0</v>
      </c>
      <c r="I90" s="77">
        <v>4.4999999999999999E-4</v>
      </c>
      <c r="J90" s="76">
        <f>+H90*I90</f>
        <v>0</v>
      </c>
      <c r="K90" s="32">
        <f>+K88</f>
        <v>2100</v>
      </c>
      <c r="L90" s="90">
        <v>4.4999999999999999E-4</v>
      </c>
      <c r="M90" s="76">
        <f>+K90*L90</f>
        <v>0.94499999999999995</v>
      </c>
      <c r="N90" s="52">
        <f>+B90+E90+H90+K90</f>
        <v>97301.510000000009</v>
      </c>
      <c r="O90" s="77">
        <v>4.4999999999999999E-4</v>
      </c>
      <c r="P90" s="76">
        <f>+N90*O90</f>
        <v>43.785679500000001</v>
      </c>
      <c r="Q90" s="52">
        <f>+Q88</f>
        <v>97301.510000000009</v>
      </c>
      <c r="R90" s="77">
        <v>4.4999999999999999E-4</v>
      </c>
      <c r="S90" s="76">
        <f>+Q90*R90</f>
        <v>43.785679500000001</v>
      </c>
      <c r="T90" s="53">
        <f>+S90-P90</f>
        <v>0</v>
      </c>
    </row>
    <row r="91" spans="1:21" s="205" customFormat="1" x14ac:dyDescent="0.3">
      <c r="A91" s="201"/>
      <c r="B91" s="202"/>
      <c r="C91" s="101"/>
      <c r="D91" s="203">
        <v>0.04</v>
      </c>
      <c r="E91" s="202"/>
      <c r="F91" s="101"/>
      <c r="G91" s="200">
        <v>0.03</v>
      </c>
      <c r="H91" s="204"/>
      <c r="I91" s="130"/>
      <c r="J91" s="200"/>
      <c r="K91" s="202"/>
      <c r="L91" s="131"/>
      <c r="M91" s="200"/>
      <c r="N91" s="202"/>
      <c r="O91" s="101"/>
      <c r="P91" s="78">
        <v>7.0000000000000007E-2</v>
      </c>
      <c r="Q91" s="202"/>
      <c r="R91" s="101"/>
      <c r="S91" s="200"/>
      <c r="T91" s="201"/>
    </row>
    <row r="92" spans="1:21" x14ac:dyDescent="0.3">
      <c r="A92" s="54"/>
      <c r="B92" s="55"/>
      <c r="C92" s="56"/>
      <c r="D92" s="79">
        <f>SUM(D87:D91)+0.01</f>
        <v>63.284254000000004</v>
      </c>
      <c r="E92" s="55"/>
      <c r="F92" s="56"/>
      <c r="G92" s="79">
        <f>SUM(G87:G91)-0.01</f>
        <v>17.707029500000001</v>
      </c>
      <c r="H92" s="57"/>
      <c r="I92" s="56"/>
      <c r="J92" s="79">
        <f>SUM(J87:J91)</f>
        <v>0</v>
      </c>
      <c r="K92" s="55"/>
      <c r="L92" s="91"/>
      <c r="M92" s="79">
        <f>SUM(M87:M91)</f>
        <v>1.7850000000000001</v>
      </c>
      <c r="N92" s="55"/>
      <c r="O92" s="56"/>
      <c r="P92" s="79">
        <f>SUM(P87:P91)</f>
        <v>82.776283500000005</v>
      </c>
      <c r="Q92" s="55"/>
      <c r="R92" s="56"/>
      <c r="S92" s="79">
        <f>SUM(S87:S91)</f>
        <v>82.706283500000012</v>
      </c>
      <c r="T92" s="58">
        <f>+P92-S92</f>
        <v>6.9999999999993179E-2</v>
      </c>
    </row>
    <row r="93" spans="1:21" x14ac:dyDescent="0.3">
      <c r="D93" s="97"/>
      <c r="J93" s="94"/>
      <c r="M93" s="94"/>
      <c r="U93" s="80">
        <f>+S92/[1]BASES!$K$24</f>
        <v>-1.6141086874214478E-2</v>
      </c>
    </row>
    <row r="94" spans="1:21" s="31" customFormat="1" ht="18" x14ac:dyDescent="0.35">
      <c r="A94" s="189" t="s">
        <v>71</v>
      </c>
      <c r="B94" s="189"/>
      <c r="C94" s="189"/>
      <c r="D94" s="189"/>
      <c r="E94" s="189"/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89"/>
    </row>
    <row r="95" spans="1:21" x14ac:dyDescent="0.3">
      <c r="A95" s="128" t="s">
        <v>63</v>
      </c>
    </row>
    <row r="96" spans="1:21" s="14" customFormat="1" x14ac:dyDescent="0.3">
      <c r="A96" s="13" t="s">
        <v>6</v>
      </c>
      <c r="B96" s="36" t="s">
        <v>1</v>
      </c>
      <c r="C96" s="37"/>
      <c r="D96" s="38"/>
      <c r="E96" s="36" t="s">
        <v>2</v>
      </c>
      <c r="F96" s="39"/>
      <c r="G96" s="40"/>
      <c r="H96" s="36" t="s">
        <v>3</v>
      </c>
      <c r="I96" s="41"/>
      <c r="J96" s="41"/>
      <c r="K96" s="191" t="s">
        <v>4</v>
      </c>
      <c r="L96" s="192"/>
      <c r="M96" s="193"/>
      <c r="N96" s="191" t="s">
        <v>0</v>
      </c>
      <c r="O96" s="192"/>
      <c r="P96" s="193"/>
      <c r="Q96" s="191" t="s">
        <v>47</v>
      </c>
      <c r="R96" s="192"/>
      <c r="S96" s="193"/>
      <c r="T96" s="13" t="s">
        <v>7</v>
      </c>
    </row>
    <row r="97" spans="1:22" s="14" customFormat="1" x14ac:dyDescent="0.3">
      <c r="A97" s="42"/>
      <c r="B97" s="43"/>
      <c r="C97" s="44"/>
      <c r="D97" s="73"/>
      <c r="E97" s="46"/>
      <c r="F97" s="47"/>
      <c r="G97" s="74"/>
      <c r="H97" s="45"/>
      <c r="I97" s="48"/>
      <c r="J97" s="74"/>
      <c r="K97" s="49"/>
      <c r="L97" s="50"/>
      <c r="M97" s="74"/>
      <c r="N97" s="49"/>
      <c r="O97" s="50"/>
      <c r="P97" s="74"/>
      <c r="Q97" s="49"/>
      <c r="R97" s="50"/>
      <c r="S97" s="74"/>
      <c r="T97" s="42"/>
      <c r="V97" s="144" t="s">
        <v>95</v>
      </c>
    </row>
    <row r="98" spans="1:22" x14ac:dyDescent="0.3">
      <c r="A98" s="51" t="s">
        <v>83</v>
      </c>
      <c r="B98" s="52">
        <v>0</v>
      </c>
      <c r="C98" s="33">
        <v>5.9999999999999995E-4</v>
      </c>
      <c r="D98" s="75">
        <f>+B98*C98</f>
        <v>0</v>
      </c>
      <c r="E98" s="52">
        <v>29410</v>
      </c>
      <c r="F98" s="33">
        <v>5.9999999999999995E-4</v>
      </c>
      <c r="G98" s="76">
        <f>+E98*F98</f>
        <v>17.645999999999997</v>
      </c>
      <c r="H98" s="32">
        <v>0</v>
      </c>
      <c r="I98" s="33">
        <v>5.9999999999999995E-4</v>
      </c>
      <c r="J98" s="76">
        <f>+H98*I98</f>
        <v>0</v>
      </c>
      <c r="K98" s="52">
        <v>0</v>
      </c>
      <c r="L98" s="33">
        <v>5.9999999999999995E-4</v>
      </c>
      <c r="M98" s="76">
        <f>+K98*L98</f>
        <v>0</v>
      </c>
      <c r="N98" s="52">
        <f>+B98+E98+H98+K98</f>
        <v>29410</v>
      </c>
      <c r="O98" s="33">
        <v>5.9999999999999995E-4</v>
      </c>
      <c r="P98" s="76">
        <f>+N98*O98</f>
        <v>17.645999999999997</v>
      </c>
      <c r="Q98" s="52">
        <v>29410</v>
      </c>
      <c r="R98" s="33">
        <v>5.9999999999999995E-4</v>
      </c>
      <c r="S98" s="76">
        <f>+Q98*R98</f>
        <v>17.645999999999997</v>
      </c>
      <c r="T98" s="53">
        <f>+S98-P98</f>
        <v>0</v>
      </c>
      <c r="U98" s="35" t="s">
        <v>64</v>
      </c>
      <c r="V98" s="32">
        <f>38699.62+800+25600</f>
        <v>65099.62</v>
      </c>
    </row>
    <row r="99" spans="1:22" ht="6" customHeight="1" x14ac:dyDescent="0.3">
      <c r="A99" s="51"/>
      <c r="B99" s="52"/>
      <c r="D99" s="75"/>
      <c r="E99" s="52"/>
      <c r="F99" s="33"/>
      <c r="G99" s="76"/>
      <c r="I99" s="33"/>
      <c r="J99" s="76"/>
      <c r="K99" s="52"/>
      <c r="L99" s="33"/>
      <c r="M99" s="76"/>
      <c r="N99" s="52"/>
      <c r="O99" s="33"/>
      <c r="P99" s="76"/>
      <c r="Q99" s="52"/>
      <c r="R99" s="33"/>
      <c r="S99" s="76"/>
      <c r="T99" s="53"/>
    </row>
    <row r="100" spans="1:22" x14ac:dyDescent="0.3">
      <c r="A100" s="51" t="s">
        <v>9</v>
      </c>
      <c r="B100" s="32">
        <f>+B98</f>
        <v>0</v>
      </c>
      <c r="C100" s="33">
        <v>5.9999999999999995E-4</v>
      </c>
      <c r="D100" s="76">
        <f>+B100*C100</f>
        <v>0</v>
      </c>
      <c r="E100" s="32">
        <f>9051.28+3825</f>
        <v>12876.28</v>
      </c>
      <c r="F100" s="33">
        <v>5.9999999999999995E-4</v>
      </c>
      <c r="G100" s="76">
        <f>+E100*F100</f>
        <v>7.7257679999999995</v>
      </c>
      <c r="H100" s="32">
        <f>+H98</f>
        <v>0</v>
      </c>
      <c r="I100" s="33">
        <v>5.9999999999999995E-4</v>
      </c>
      <c r="J100" s="76">
        <f>+H100*I100</f>
        <v>0</v>
      </c>
      <c r="K100" s="32">
        <v>0</v>
      </c>
      <c r="L100" s="33">
        <v>5.9999999999999995E-4</v>
      </c>
      <c r="M100" s="76">
        <f>+K100*L100</f>
        <v>0</v>
      </c>
      <c r="N100" s="52">
        <f>+B100+E100+H100+K100</f>
        <v>12876.28</v>
      </c>
      <c r="O100" s="33">
        <v>5.9999999999999995E-4</v>
      </c>
      <c r="P100" s="76">
        <f>+N100*O100</f>
        <v>7.7257679999999995</v>
      </c>
      <c r="Q100" s="52">
        <f>+BASES!U7-V98</f>
        <v>12876.279999999992</v>
      </c>
      <c r="R100" s="33">
        <v>5.9999999999999995E-4</v>
      </c>
      <c r="S100" s="76">
        <f>+Q100*R100</f>
        <v>7.7257679999999942</v>
      </c>
      <c r="T100" s="53">
        <f>+S100-P100</f>
        <v>0</v>
      </c>
      <c r="U100" s="35" t="s">
        <v>65</v>
      </c>
    </row>
    <row r="101" spans="1:22" x14ac:dyDescent="0.3">
      <c r="A101" s="51"/>
      <c r="B101" s="52"/>
      <c r="D101" s="75"/>
      <c r="E101" s="52"/>
      <c r="F101" s="33"/>
      <c r="G101" s="78"/>
      <c r="H101" s="99"/>
      <c r="I101" s="100"/>
      <c r="J101" s="98"/>
      <c r="K101" s="52"/>
      <c r="L101" s="89"/>
      <c r="M101" s="78"/>
      <c r="N101" s="99"/>
      <c r="O101" s="100"/>
      <c r="P101" s="98"/>
      <c r="Q101" s="99"/>
      <c r="R101" s="100"/>
      <c r="S101" s="98"/>
      <c r="T101" s="51"/>
    </row>
    <row r="102" spans="1:22" x14ac:dyDescent="0.3">
      <c r="A102" s="54"/>
      <c r="B102" s="55"/>
      <c r="C102" s="56"/>
      <c r="D102" s="79">
        <f>SUM(D97:D101)+0.01</f>
        <v>0.01</v>
      </c>
      <c r="E102" s="55"/>
      <c r="F102" s="56"/>
      <c r="G102" s="79">
        <f>SUM(G97:G101)+0.01</f>
        <v>25.381767999999997</v>
      </c>
      <c r="H102" s="57"/>
      <c r="I102" s="56"/>
      <c r="J102" s="79">
        <f>SUM(J97:J101)</f>
        <v>0</v>
      </c>
      <c r="K102" s="55"/>
      <c r="L102" s="91"/>
      <c r="M102" s="79">
        <f>SUM(M97:M101)</f>
        <v>0</v>
      </c>
      <c r="N102" s="55"/>
      <c r="O102" s="56"/>
      <c r="P102" s="79">
        <f>SUM(P97:P101)+0.01</f>
        <v>25.381767999999997</v>
      </c>
      <c r="Q102" s="55"/>
      <c r="R102" s="56"/>
      <c r="S102" s="79">
        <f>SUM(S97:S101)+0.01</f>
        <v>25.381767999999994</v>
      </c>
      <c r="T102" s="58">
        <f>+P102-S102</f>
        <v>0</v>
      </c>
    </row>
    <row r="103" spans="1:22" x14ac:dyDescent="0.3">
      <c r="D103" s="97"/>
      <c r="J103" s="94"/>
      <c r="M103" s="94"/>
      <c r="U103" s="80" t="e">
        <f>+S102/[1]BASES!$Q$24</f>
        <v>#DIV/0!</v>
      </c>
    </row>
  </sheetData>
  <mergeCells count="41">
    <mergeCell ref="A34:T34"/>
    <mergeCell ref="K36:M36"/>
    <mergeCell ref="N36:P36"/>
    <mergeCell ref="Q36:S36"/>
    <mergeCell ref="K56:M56"/>
    <mergeCell ref="N56:P56"/>
    <mergeCell ref="Q56:S56"/>
    <mergeCell ref="A44:T44"/>
    <mergeCell ref="K46:M46"/>
    <mergeCell ref="N46:P46"/>
    <mergeCell ref="Q46:S46"/>
    <mergeCell ref="A54:T54"/>
    <mergeCell ref="K66:M66"/>
    <mergeCell ref="N66:P66"/>
    <mergeCell ref="Q66:S66"/>
    <mergeCell ref="A74:T74"/>
    <mergeCell ref="K76:M76"/>
    <mergeCell ref="N76:P76"/>
    <mergeCell ref="Q76:S76"/>
    <mergeCell ref="K96:M96"/>
    <mergeCell ref="N96:P96"/>
    <mergeCell ref="Q96:S96"/>
    <mergeCell ref="A64:T64"/>
    <mergeCell ref="K16:M16"/>
    <mergeCell ref="N16:P16"/>
    <mergeCell ref="Q16:S16"/>
    <mergeCell ref="A24:T24"/>
    <mergeCell ref="K26:M26"/>
    <mergeCell ref="N26:P26"/>
    <mergeCell ref="Q26:S26"/>
    <mergeCell ref="A84:T84"/>
    <mergeCell ref="K86:M86"/>
    <mergeCell ref="N86:P86"/>
    <mergeCell ref="Q86:S86"/>
    <mergeCell ref="A94:T94"/>
    <mergeCell ref="A14:T14"/>
    <mergeCell ref="A1:T1"/>
    <mergeCell ref="A4:T4"/>
    <mergeCell ref="K6:M6"/>
    <mergeCell ref="N6:P6"/>
    <mergeCell ref="Q6:S6"/>
  </mergeCells>
  <printOptions horizontalCentered="1"/>
  <pageMargins left="0" right="0" top="0.39370078740157483" bottom="0" header="0.19685039370078741" footer="0"/>
  <pageSetup paperSize="9" scale="81" orientation="landscape" horizontalDpi="4294967293" r:id="rId1"/>
  <rowBreaks count="2" manualBreakCount="2">
    <brk id="43" max="21" man="1"/>
    <brk id="83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16"/>
  <sheetViews>
    <sheetView tabSelected="1" zoomScale="110" zoomScaleNormal="11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107" sqref="H107"/>
    </sheetView>
  </sheetViews>
  <sheetFormatPr baseColWidth="10" defaultRowHeight="14.4" customHeight="1" x14ac:dyDescent="0.3"/>
  <cols>
    <col min="1" max="1" width="22.6640625" customWidth="1"/>
    <col min="2" max="2" width="15.44140625" style="10" customWidth="1"/>
    <col min="3" max="3" width="7.6640625" customWidth="1"/>
    <col min="4" max="4" width="10.6640625" style="2" customWidth="1"/>
    <col min="5" max="5" width="7.6640625" customWidth="1"/>
    <col min="6" max="6" width="10.6640625" style="2" customWidth="1"/>
    <col min="7" max="7" width="7.6640625" customWidth="1"/>
    <col min="8" max="8" width="10.6640625" style="2" customWidth="1"/>
    <col min="9" max="9" width="7.6640625" customWidth="1"/>
    <col min="10" max="10" width="10.6640625" style="2" customWidth="1"/>
    <col min="11" max="11" width="7.6640625" customWidth="1"/>
    <col min="12" max="12" width="10.6640625" style="2" customWidth="1"/>
    <col min="13" max="13" width="1" style="2" customWidth="1"/>
    <col min="14" max="14" width="12" style="135" bestFit="1" customWidth="1"/>
  </cols>
  <sheetData>
    <row r="1" spans="1:17" s="7" customFormat="1" ht="14.4" customHeight="1" x14ac:dyDescent="0.35">
      <c r="A1" s="189" t="s">
        <v>92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24"/>
      <c r="N1" s="134"/>
    </row>
    <row r="2" spans="1:17" ht="14.4" customHeight="1" x14ac:dyDescent="0.35">
      <c r="A2" s="7" t="s">
        <v>50</v>
      </c>
    </row>
    <row r="3" spans="1:17" ht="14.4" customHeight="1" x14ac:dyDescent="0.3">
      <c r="E3" s="196" t="s">
        <v>72</v>
      </c>
      <c r="F3" s="197"/>
      <c r="G3" s="196" t="s">
        <v>73</v>
      </c>
      <c r="H3" s="197"/>
      <c r="N3" s="136" t="s">
        <v>74</v>
      </c>
    </row>
    <row r="4" spans="1:17" s="14" customFormat="1" ht="14.4" customHeight="1" x14ac:dyDescent="0.3">
      <c r="A4" s="13"/>
      <c r="B4" s="59" t="s">
        <v>10</v>
      </c>
      <c r="C4" s="191" t="s">
        <v>79</v>
      </c>
      <c r="D4" s="193"/>
      <c r="E4" s="191" t="s">
        <v>15</v>
      </c>
      <c r="F4" s="193"/>
      <c r="G4" s="191" t="s">
        <v>16</v>
      </c>
      <c r="H4" s="193"/>
      <c r="I4" s="191" t="s">
        <v>17</v>
      </c>
      <c r="J4" s="193"/>
      <c r="K4" s="194" t="s">
        <v>33</v>
      </c>
      <c r="L4" s="195"/>
      <c r="M4" s="50"/>
      <c r="N4" s="136" t="s">
        <v>76</v>
      </c>
    </row>
    <row r="5" spans="1:17" s="2" customFormat="1" ht="14.4" customHeight="1" x14ac:dyDescent="0.3">
      <c r="A5" s="8" t="s">
        <v>5</v>
      </c>
      <c r="B5" s="18"/>
      <c r="C5" s="15"/>
      <c r="D5" s="20"/>
      <c r="E5" s="15"/>
      <c r="F5" s="20"/>
      <c r="G5" s="15"/>
      <c r="H5" s="20"/>
      <c r="I5" s="15"/>
      <c r="J5" s="20"/>
      <c r="K5" s="65"/>
      <c r="L5" s="66"/>
      <c r="M5" s="61"/>
      <c r="N5" s="141"/>
    </row>
    <row r="6" spans="1:17" ht="14.4" customHeight="1" x14ac:dyDescent="0.3">
      <c r="A6" s="5" t="s">
        <v>11</v>
      </c>
      <c r="B6" s="9">
        <f>BASES!C7-B7-B9</f>
        <v>899620.58999999985</v>
      </c>
      <c r="C6" s="16"/>
      <c r="D6" s="21"/>
      <c r="E6" s="16">
        <v>8.9999999999999998E-4</v>
      </c>
      <c r="F6" s="21">
        <f>B6*E6</f>
        <v>809.65853099999981</v>
      </c>
      <c r="G6" s="16">
        <v>4.4999999999999997E-3</v>
      </c>
      <c r="H6" s="21">
        <f>B6*G6</f>
        <v>4048.2926549999988</v>
      </c>
      <c r="I6" s="23">
        <v>4.0000000000000003E-5</v>
      </c>
      <c r="J6" s="21">
        <f>B6*I6</f>
        <v>35.984823599999999</v>
      </c>
      <c r="K6" s="67">
        <v>0</v>
      </c>
      <c r="L6" s="68">
        <f>ROUND(B6*K6,0)</f>
        <v>0</v>
      </c>
      <c r="M6" s="22"/>
      <c r="N6" s="9">
        <f>-N7-N8-N9+1294661.3</f>
        <v>899620.59000000008</v>
      </c>
      <c r="O6" s="135">
        <f>+B6-N6</f>
        <v>0</v>
      </c>
    </row>
    <row r="7" spans="1:17" ht="14.4" customHeight="1" x14ac:dyDescent="0.3">
      <c r="A7" s="5" t="s">
        <v>12</v>
      </c>
      <c r="B7" s="9">
        <v>13200</v>
      </c>
      <c r="C7" s="16"/>
      <c r="D7" s="21"/>
      <c r="E7" s="16">
        <f>+E6</f>
        <v>8.9999999999999998E-4</v>
      </c>
      <c r="F7" s="21">
        <f t="shared" ref="F7" si="0">B7*E7</f>
        <v>11.879999999999999</v>
      </c>
      <c r="G7" s="16">
        <v>4.4999999999999997E-3</v>
      </c>
      <c r="H7" s="21">
        <f>B7*G7</f>
        <v>59.4</v>
      </c>
      <c r="I7" s="23">
        <v>4.0000000000000003E-5</v>
      </c>
      <c r="J7" s="21">
        <f>B7*I7</f>
        <v>0.52800000000000002</v>
      </c>
      <c r="K7" s="67">
        <v>0</v>
      </c>
      <c r="L7" s="68">
        <f>ROUND(B7*K7,0)</f>
        <v>0</v>
      </c>
      <c r="M7" s="22"/>
      <c r="N7" s="9">
        <f>+B7</f>
        <v>13200</v>
      </c>
      <c r="O7" s="135">
        <f>+B7-N7</f>
        <v>0</v>
      </c>
    </row>
    <row r="8" spans="1:17" ht="14.4" customHeight="1" x14ac:dyDescent="0.3">
      <c r="A8" s="5" t="s">
        <v>49</v>
      </c>
      <c r="B8" s="9">
        <f>3331.88+500</f>
        <v>3831.88</v>
      </c>
      <c r="C8" s="16"/>
      <c r="D8" s="21"/>
      <c r="E8" s="16">
        <f>+E6</f>
        <v>8.9999999999999998E-4</v>
      </c>
      <c r="F8" s="21">
        <f>B8*E8</f>
        <v>3.4486919999999999</v>
      </c>
      <c r="G8" s="16">
        <v>4.4999999999999997E-3</v>
      </c>
      <c r="H8" s="21">
        <f>B8*G8</f>
        <v>17.243459999999999</v>
      </c>
      <c r="I8" s="23"/>
      <c r="J8" s="21">
        <f>B8*I8</f>
        <v>0</v>
      </c>
      <c r="K8" s="67">
        <v>0</v>
      </c>
      <c r="L8" s="68">
        <f>ROUND(B8*K8,0)</f>
        <v>0</v>
      </c>
      <c r="M8" s="22"/>
      <c r="N8" s="9">
        <f>+B8</f>
        <v>3831.88</v>
      </c>
      <c r="O8" s="135">
        <f>+B8-N8</f>
        <v>0</v>
      </c>
    </row>
    <row r="9" spans="1:17" ht="14.4" customHeight="1" x14ac:dyDescent="0.3">
      <c r="A9" s="5" t="s">
        <v>13</v>
      </c>
      <c r="B9" s="9">
        <f>124210.64+46609.84+60788.2+57796.27+2678.64+85925.24</f>
        <v>378008.83</v>
      </c>
      <c r="C9" s="16">
        <v>3.2000000000000002E-3</v>
      </c>
      <c r="D9" s="21">
        <f>B9*C9</f>
        <v>1209.6282560000002</v>
      </c>
      <c r="E9" s="16">
        <f>+E6</f>
        <v>8.9999999999999998E-4</v>
      </c>
      <c r="F9" s="21">
        <f t="shared" ref="F9:F10" si="1">B9*E9</f>
        <v>340.20794699999999</v>
      </c>
      <c r="G9" s="16">
        <v>1E-3</v>
      </c>
      <c r="H9" s="21">
        <f>B9*G9</f>
        <v>378.00883000000005</v>
      </c>
      <c r="I9" s="23">
        <v>4.0000000000000003E-5</v>
      </c>
      <c r="J9" s="21">
        <f>B9*I9</f>
        <v>15.120353200000002</v>
      </c>
      <c r="K9" s="67">
        <v>0</v>
      </c>
      <c r="L9" s="68">
        <f>ROUND(B9*K9,0)</f>
        <v>0</v>
      </c>
      <c r="M9" s="22"/>
      <c r="N9" s="9">
        <f>+B9</f>
        <v>378008.83</v>
      </c>
      <c r="O9" s="135">
        <f>+B9-N9</f>
        <v>0</v>
      </c>
    </row>
    <row r="10" spans="1:17" ht="14.4" customHeight="1" x14ac:dyDescent="0.3">
      <c r="A10" s="5" t="s">
        <v>45</v>
      </c>
      <c r="B10" s="63">
        <f>378008.83*10/100</f>
        <v>37800.883000000002</v>
      </c>
      <c r="C10" s="16"/>
      <c r="D10" s="21"/>
      <c r="E10" s="16">
        <f>+E7</f>
        <v>8.9999999999999998E-4</v>
      </c>
      <c r="F10" s="21">
        <f t="shared" si="1"/>
        <v>34.020794700000003</v>
      </c>
      <c r="G10" s="16"/>
      <c r="H10" s="21"/>
      <c r="I10" s="23"/>
      <c r="J10" s="21"/>
      <c r="K10" s="69"/>
      <c r="L10" s="68"/>
      <c r="M10" s="22"/>
      <c r="N10" s="9">
        <f>-N7-N6-N8-N9+1332462.21</f>
        <v>37800.909999999916</v>
      </c>
      <c r="O10" s="135">
        <f>+B10-N10</f>
        <v>-2.6999999914551154E-2</v>
      </c>
    </row>
    <row r="11" spans="1:17" ht="14.4" customHeight="1" x14ac:dyDescent="0.3">
      <c r="A11" s="5" t="s">
        <v>34</v>
      </c>
      <c r="B11" s="9"/>
      <c r="C11" s="16"/>
      <c r="D11" s="21"/>
      <c r="E11" s="16"/>
      <c r="F11" s="21"/>
      <c r="G11" s="16"/>
      <c r="H11" s="21"/>
      <c r="I11" s="23"/>
      <c r="J11" s="21"/>
      <c r="K11" s="67">
        <v>0</v>
      </c>
      <c r="L11" s="68">
        <f>ROUND((B9*11.5/100)*K11,0)</f>
        <v>0</v>
      </c>
      <c r="M11" s="22"/>
      <c r="N11" s="137"/>
    </row>
    <row r="12" spans="1:17" ht="14.4" customHeight="1" x14ac:dyDescent="0.3">
      <c r="A12" s="5" t="s">
        <v>8</v>
      </c>
      <c r="B12" s="9"/>
      <c r="C12" s="16"/>
      <c r="D12" s="64">
        <f>IF(SUM(D6:D11)&lt;40,40-SUM(D6:D11),0)</f>
        <v>0</v>
      </c>
      <c r="E12" s="16"/>
      <c r="F12" s="21"/>
      <c r="G12" s="16"/>
      <c r="H12" s="21">
        <v>50</v>
      </c>
      <c r="I12" s="23"/>
      <c r="J12" s="95">
        <f>+IF(SUM(J6+J7+J8+J9+J11)&lt;$J$107,$J$107-SUM(J6+J7+J8+J9+J11),0)</f>
        <v>0</v>
      </c>
      <c r="K12" s="67"/>
      <c r="L12" s="68"/>
      <c r="M12" s="22"/>
      <c r="N12" s="137"/>
    </row>
    <row r="13" spans="1:17" s="162" customFormat="1" ht="14.4" customHeight="1" x14ac:dyDescent="0.3">
      <c r="A13" s="156" t="s">
        <v>89</v>
      </c>
      <c r="B13" s="157">
        <v>-1.3</v>
      </c>
      <c r="C13" s="158"/>
      <c r="D13" s="163">
        <v>7.0000000000000007E-2</v>
      </c>
      <c r="E13" s="158"/>
      <c r="F13" s="163">
        <v>0</v>
      </c>
      <c r="G13" s="158"/>
      <c r="H13" s="163">
        <v>0.15</v>
      </c>
      <c r="I13" s="159"/>
      <c r="J13" s="163">
        <v>0</v>
      </c>
      <c r="K13" s="160"/>
      <c r="L13" s="164"/>
      <c r="M13" s="165"/>
      <c r="N13" s="161"/>
    </row>
    <row r="14" spans="1:17" ht="14.4" customHeight="1" x14ac:dyDescent="0.3">
      <c r="A14" s="5"/>
      <c r="B14" s="9"/>
      <c r="C14" s="16">
        <v>0.2</v>
      </c>
      <c r="D14" s="21">
        <f>SUM(D5:D13)*C14</f>
        <v>241.93965120000004</v>
      </c>
      <c r="E14" s="16"/>
      <c r="F14" s="21"/>
      <c r="G14" s="16"/>
      <c r="H14" s="21"/>
      <c r="I14" s="16"/>
      <c r="J14" s="21"/>
      <c r="K14" s="69"/>
      <c r="L14" s="68"/>
      <c r="M14" s="22"/>
      <c r="N14" s="137"/>
    </row>
    <row r="15" spans="1:17" ht="14.4" customHeight="1" x14ac:dyDescent="0.3">
      <c r="A15" s="62" t="s">
        <v>36</v>
      </c>
      <c r="B15" s="3">
        <f>SUM(B5:B14)-B10-B11</f>
        <v>1294659.9999999998</v>
      </c>
      <c r="C15" s="17"/>
      <c r="D15" s="19">
        <f>SUM(D5:D14)</f>
        <v>1451.6379072000002</v>
      </c>
      <c r="E15" s="17"/>
      <c r="F15" s="19">
        <f>SUM(F5:F14)+0.01</f>
        <v>1199.2259646999998</v>
      </c>
      <c r="G15" s="17"/>
      <c r="H15" s="19">
        <f>SUM(H5:H14)</f>
        <v>4553.094944999998</v>
      </c>
      <c r="I15" s="17"/>
      <c r="J15" s="19">
        <f>SUM(J5:J14)</f>
        <v>51.633176800000001</v>
      </c>
      <c r="K15" s="70"/>
      <c r="L15" s="71">
        <f>SUM(L5:L14)</f>
        <v>0</v>
      </c>
      <c r="M15" s="22"/>
      <c r="N15" s="137"/>
    </row>
    <row r="16" spans="1:17" s="2" customFormat="1" ht="14.4" customHeight="1" x14ac:dyDescent="0.3">
      <c r="A16" s="8" t="s">
        <v>66</v>
      </c>
      <c r="B16" s="18"/>
      <c r="C16" s="15"/>
      <c r="D16" s="20"/>
      <c r="E16" s="15"/>
      <c r="F16" s="20"/>
      <c r="G16" s="15"/>
      <c r="H16" s="20"/>
      <c r="I16" s="15"/>
      <c r="J16" s="20"/>
      <c r="K16" s="65"/>
      <c r="L16" s="66"/>
      <c r="M16" s="61"/>
      <c r="N16" s="143"/>
      <c r="Q16"/>
    </row>
    <row r="17" spans="1:17" ht="14.4" customHeight="1" x14ac:dyDescent="0.3">
      <c r="A17" s="5" t="s">
        <v>13</v>
      </c>
      <c r="B17" s="9">
        <f>+BASES!E7</f>
        <v>7850</v>
      </c>
      <c r="C17" s="16">
        <v>3.2000000000000002E-3</v>
      </c>
      <c r="D17" s="21">
        <f>B17*C17</f>
        <v>25.12</v>
      </c>
      <c r="E17" s="16">
        <v>8.9999999999999998E-4</v>
      </c>
      <c r="F17" s="21">
        <f>B17*E17</f>
        <v>7.0649999999999995</v>
      </c>
      <c r="G17" s="16">
        <v>1E-3</v>
      </c>
      <c r="H17" s="21">
        <f>B17*G17</f>
        <v>7.8500000000000005</v>
      </c>
      <c r="I17" s="23">
        <v>4.0000000000000003E-5</v>
      </c>
      <c r="J17" s="21">
        <f>B17*I17</f>
        <v>0.314</v>
      </c>
      <c r="K17" s="67">
        <v>0</v>
      </c>
      <c r="L17" s="68">
        <f>ROUND(B17*K17,0)</f>
        <v>0</v>
      </c>
      <c r="M17" s="22"/>
      <c r="N17" s="161">
        <v>0</v>
      </c>
      <c r="O17" s="135">
        <f>+B17-N17</f>
        <v>7850</v>
      </c>
      <c r="P17" s="162" t="s">
        <v>87</v>
      </c>
    </row>
    <row r="18" spans="1:17" ht="14.4" customHeight="1" x14ac:dyDescent="0.3">
      <c r="A18" s="5" t="s">
        <v>48</v>
      </c>
      <c r="B18" s="9">
        <v>0</v>
      </c>
      <c r="C18" s="16"/>
      <c r="D18" s="21"/>
      <c r="E18" s="16">
        <f>+E17</f>
        <v>8.9999999999999998E-4</v>
      </c>
      <c r="F18" s="21">
        <f t="shared" ref="F18:F20" si="2">B18*E18</f>
        <v>0</v>
      </c>
      <c r="G18" s="16"/>
      <c r="H18" s="21"/>
      <c r="I18" s="23"/>
      <c r="J18" s="21"/>
      <c r="K18" s="69"/>
      <c r="L18" s="68"/>
      <c r="M18" s="22"/>
      <c r="N18" s="137">
        <v>0</v>
      </c>
      <c r="O18" s="135">
        <f>+B18-N18</f>
        <v>0</v>
      </c>
    </row>
    <row r="19" spans="1:17" ht="14.4" customHeight="1" x14ac:dyDescent="0.3">
      <c r="A19" s="5" t="s">
        <v>44</v>
      </c>
      <c r="B19" s="9">
        <v>0</v>
      </c>
      <c r="C19" s="16">
        <f>+C17</f>
        <v>3.2000000000000002E-3</v>
      </c>
      <c r="D19" s="21">
        <f>B19*C19</f>
        <v>0</v>
      </c>
      <c r="E19" s="16">
        <f>+E17</f>
        <v>8.9999999999999998E-4</v>
      </c>
      <c r="F19" s="21">
        <f t="shared" si="2"/>
        <v>0</v>
      </c>
      <c r="G19" s="16">
        <f>+G17</f>
        <v>1E-3</v>
      </c>
      <c r="H19" s="21">
        <f>B19*G19</f>
        <v>0</v>
      </c>
      <c r="I19" s="23"/>
      <c r="J19" s="21"/>
      <c r="K19" s="69"/>
      <c r="L19" s="68"/>
      <c r="M19" s="22"/>
      <c r="N19" s="137"/>
    </row>
    <row r="20" spans="1:17" ht="14.4" customHeight="1" x14ac:dyDescent="0.3">
      <c r="A20" s="5" t="s">
        <v>45</v>
      </c>
      <c r="B20" s="63">
        <f>7850*10/100</f>
        <v>785</v>
      </c>
      <c r="C20" s="16"/>
      <c r="D20" s="21"/>
      <c r="E20" s="16">
        <f>+E17</f>
        <v>8.9999999999999998E-4</v>
      </c>
      <c r="F20" s="21">
        <f t="shared" si="2"/>
        <v>0.70650000000000002</v>
      </c>
      <c r="G20" s="16"/>
      <c r="H20" s="21"/>
      <c r="I20" s="23"/>
      <c r="J20" s="21"/>
      <c r="K20" s="69"/>
      <c r="L20" s="68"/>
      <c r="M20" s="22"/>
      <c r="N20" s="161">
        <v>0</v>
      </c>
      <c r="O20" s="135">
        <f>+B20-N20</f>
        <v>785</v>
      </c>
      <c r="P20" s="162" t="s">
        <v>87</v>
      </c>
    </row>
    <row r="21" spans="1:17" ht="14.4" customHeight="1" x14ac:dyDescent="0.3">
      <c r="A21" s="5" t="s">
        <v>46</v>
      </c>
      <c r="B21" s="9"/>
      <c r="C21" s="16"/>
      <c r="D21" s="21"/>
      <c r="E21" s="16"/>
      <c r="F21" s="21"/>
      <c r="G21" s="16"/>
      <c r="H21" s="21"/>
      <c r="I21" s="23"/>
      <c r="J21" s="21"/>
      <c r="K21" s="67">
        <v>0</v>
      </c>
      <c r="L21" s="68">
        <f>ROUND((B17*11.5/100)*K21,0)</f>
        <v>0</v>
      </c>
      <c r="M21" s="22"/>
      <c r="N21" s="137"/>
    </row>
    <row r="22" spans="1:17" ht="14.4" customHeight="1" x14ac:dyDescent="0.3">
      <c r="A22" s="5" t="s">
        <v>55</v>
      </c>
      <c r="B22" s="9"/>
      <c r="C22" s="16"/>
      <c r="D22" s="95">
        <v>0</v>
      </c>
      <c r="E22" s="16"/>
      <c r="F22" s="21"/>
      <c r="G22" s="16"/>
      <c r="H22" s="21"/>
      <c r="I22" s="23"/>
      <c r="J22" s="95">
        <v>0</v>
      </c>
      <c r="K22" s="67"/>
      <c r="L22" s="68"/>
      <c r="M22" s="22"/>
      <c r="N22" s="137"/>
    </row>
    <row r="23" spans="1:17" s="162" customFormat="1" ht="14.4" customHeight="1" x14ac:dyDescent="0.3">
      <c r="A23" s="156" t="s">
        <v>89</v>
      </c>
      <c r="B23" s="157">
        <v>0</v>
      </c>
      <c r="C23" s="158"/>
      <c r="D23" s="163">
        <v>0</v>
      </c>
      <c r="E23" s="158"/>
      <c r="F23" s="163">
        <v>0</v>
      </c>
      <c r="G23" s="158"/>
      <c r="H23" s="163">
        <v>0</v>
      </c>
      <c r="I23" s="159"/>
      <c r="J23" s="163">
        <v>0.01</v>
      </c>
      <c r="K23" s="160"/>
      <c r="L23" s="164"/>
      <c r="M23" s="165"/>
      <c r="N23" s="161"/>
    </row>
    <row r="24" spans="1:17" ht="14.4" customHeight="1" x14ac:dyDescent="0.3">
      <c r="A24" s="5"/>
      <c r="B24" s="9"/>
      <c r="C24" s="16">
        <v>0.2</v>
      </c>
      <c r="D24" s="21">
        <f>SUM(D17:D23)*C24</f>
        <v>5.0240000000000009</v>
      </c>
      <c r="E24" s="16"/>
      <c r="F24" s="21"/>
      <c r="G24" s="16"/>
      <c r="H24" s="21"/>
      <c r="I24" s="16"/>
      <c r="J24" s="21"/>
      <c r="K24" s="69"/>
      <c r="L24" s="68"/>
      <c r="M24" s="22"/>
      <c r="N24" s="137"/>
    </row>
    <row r="25" spans="1:17" ht="14.4" customHeight="1" x14ac:dyDescent="0.3">
      <c r="A25" s="62" t="s">
        <v>36</v>
      </c>
      <c r="B25" s="3">
        <f>SUM(B16:B24)-B19-B20</f>
        <v>7850</v>
      </c>
      <c r="C25" s="17"/>
      <c r="D25" s="19">
        <f>SUM(D16:D24)</f>
        <v>30.144000000000002</v>
      </c>
      <c r="E25" s="17"/>
      <c r="F25" s="19">
        <f>SUM(F16:F24)+0.01</f>
        <v>7.7814999999999994</v>
      </c>
      <c r="G25" s="17"/>
      <c r="H25" s="19">
        <f>SUM(H16:H24)</f>
        <v>7.8500000000000005</v>
      </c>
      <c r="I25" s="17"/>
      <c r="J25" s="19">
        <f>SUM(J16:J24)</f>
        <v>0.32400000000000001</v>
      </c>
      <c r="K25" s="70"/>
      <c r="L25" s="71">
        <f>SUM(L16:L24)</f>
        <v>0</v>
      </c>
      <c r="M25" s="22"/>
      <c r="N25" s="140"/>
    </row>
    <row r="26" spans="1:17" s="2" customFormat="1" ht="14.4" customHeight="1" x14ac:dyDescent="0.3">
      <c r="A26" s="8" t="s">
        <v>56</v>
      </c>
      <c r="B26" s="18"/>
      <c r="C26" s="15"/>
      <c r="D26" s="20"/>
      <c r="E26" s="15"/>
      <c r="F26" s="20"/>
      <c r="G26" s="15"/>
      <c r="H26" s="20"/>
      <c r="I26" s="15"/>
      <c r="J26" s="20"/>
      <c r="K26" s="65"/>
      <c r="L26" s="66"/>
      <c r="M26" s="61"/>
      <c r="N26" s="138"/>
      <c r="Q26"/>
    </row>
    <row r="27" spans="1:17" ht="14.4" customHeight="1" x14ac:dyDescent="0.3">
      <c r="A27" s="5" t="s">
        <v>13</v>
      </c>
      <c r="B27" s="9">
        <f>+BASES!G7</f>
        <v>14884.169999999998</v>
      </c>
      <c r="C27" s="16">
        <v>3.2000000000000002E-3</v>
      </c>
      <c r="D27" s="21">
        <f>B27*C27</f>
        <v>47.629343999999996</v>
      </c>
      <c r="E27" s="16">
        <f>0.68%-0.59%</f>
        <v>9.0000000000000063E-4</v>
      </c>
      <c r="F27" s="21">
        <f>B27*E27</f>
        <v>13.395753000000008</v>
      </c>
      <c r="G27" s="16">
        <f>2.1%-2%</f>
        <v>1.0000000000000009E-3</v>
      </c>
      <c r="H27" s="21">
        <f>B27*G27</f>
        <v>14.884170000000012</v>
      </c>
      <c r="I27" s="23">
        <v>4.0000000000000003E-5</v>
      </c>
      <c r="J27" s="21">
        <f>B27*I27</f>
        <v>0.59536679999999997</v>
      </c>
      <c r="K27" s="67">
        <v>0</v>
      </c>
      <c r="L27" s="68">
        <f>ROUND(B27*K27,0)</f>
        <v>0</v>
      </c>
      <c r="M27" s="22"/>
      <c r="N27" s="137">
        <v>14884.17</v>
      </c>
      <c r="O27" s="135">
        <f>+B27-N27</f>
        <v>0</v>
      </c>
    </row>
    <row r="28" spans="1:17" ht="14.4" customHeight="1" x14ac:dyDescent="0.3">
      <c r="A28" s="5" t="s">
        <v>48</v>
      </c>
      <c r="B28" s="9">
        <v>0</v>
      </c>
      <c r="C28" s="16"/>
      <c r="D28" s="21"/>
      <c r="E28" s="16">
        <f>+E27</f>
        <v>9.0000000000000063E-4</v>
      </c>
      <c r="F28" s="21">
        <f t="shared" ref="F28:F30" si="3">B28*E28</f>
        <v>0</v>
      </c>
      <c r="G28" s="16"/>
      <c r="H28" s="21"/>
      <c r="I28" s="23"/>
      <c r="J28" s="21"/>
      <c r="K28" s="69"/>
      <c r="L28" s="68"/>
      <c r="M28" s="22"/>
      <c r="N28" s="137">
        <v>0</v>
      </c>
      <c r="O28" s="135">
        <f>+B28-N28</f>
        <v>0</v>
      </c>
    </row>
    <row r="29" spans="1:17" ht="14.4" customHeight="1" x14ac:dyDescent="0.3">
      <c r="A29" s="5" t="s">
        <v>44</v>
      </c>
      <c r="B29" s="9">
        <v>0</v>
      </c>
      <c r="C29" s="16">
        <f>+C27</f>
        <v>3.2000000000000002E-3</v>
      </c>
      <c r="D29" s="21">
        <f>B29*C29</f>
        <v>0</v>
      </c>
      <c r="E29" s="16">
        <f>+E27</f>
        <v>9.0000000000000063E-4</v>
      </c>
      <c r="F29" s="21">
        <f t="shared" si="3"/>
        <v>0</v>
      </c>
      <c r="G29" s="16">
        <f>+G27</f>
        <v>1.0000000000000009E-3</v>
      </c>
      <c r="H29" s="21">
        <f>B29*G29</f>
        <v>0</v>
      </c>
      <c r="I29" s="23"/>
      <c r="J29" s="21"/>
      <c r="K29" s="69"/>
      <c r="L29" s="68"/>
      <c r="M29" s="22"/>
      <c r="N29" s="137"/>
    </row>
    <row r="30" spans="1:17" ht="14.4" customHeight="1" x14ac:dyDescent="0.3">
      <c r="A30" s="5" t="s">
        <v>45</v>
      </c>
      <c r="B30" s="63">
        <f>14884.17*0.1</f>
        <v>1488.4170000000001</v>
      </c>
      <c r="C30" s="16"/>
      <c r="D30" s="21"/>
      <c r="E30" s="16">
        <f>+E27</f>
        <v>9.0000000000000063E-4</v>
      </c>
      <c r="F30" s="21">
        <f t="shared" si="3"/>
        <v>1.339575300000001</v>
      </c>
      <c r="G30" s="16"/>
      <c r="H30" s="21"/>
      <c r="I30" s="23"/>
      <c r="J30" s="21"/>
      <c r="K30" s="69"/>
      <c r="L30" s="68"/>
      <c r="M30" s="22"/>
      <c r="N30" s="137">
        <f>-N27+16372.58</f>
        <v>1488.4099999999999</v>
      </c>
      <c r="O30" s="135">
        <f>+B30-N30</f>
        <v>7.0000000002892193E-3</v>
      </c>
    </row>
    <row r="31" spans="1:17" ht="14.4" customHeight="1" x14ac:dyDescent="0.3">
      <c r="A31" s="5" t="s">
        <v>46</v>
      </c>
      <c r="B31" s="9"/>
      <c r="C31" s="16"/>
      <c r="D31" s="21"/>
      <c r="E31" s="16"/>
      <c r="F31" s="21"/>
      <c r="G31" s="16"/>
      <c r="H31" s="21"/>
      <c r="I31" s="23"/>
      <c r="J31" s="21"/>
      <c r="K31" s="67">
        <v>0</v>
      </c>
      <c r="L31" s="68">
        <f>ROUND((B27*11.5/100)*K31,0)</f>
        <v>0</v>
      </c>
      <c r="M31" s="22"/>
      <c r="N31" s="137"/>
    </row>
    <row r="32" spans="1:17" ht="14.4" customHeight="1" x14ac:dyDescent="0.3">
      <c r="A32" s="5" t="s">
        <v>55</v>
      </c>
      <c r="B32" s="9"/>
      <c r="C32" s="16"/>
      <c r="D32" s="95">
        <v>0</v>
      </c>
      <c r="E32" s="16"/>
      <c r="F32" s="21"/>
      <c r="G32" s="16"/>
      <c r="H32" s="21"/>
      <c r="I32" s="23"/>
      <c r="J32" s="95">
        <f>+IF(J27&lt;$J$107,SUM($J$107-J27),0)</f>
        <v>14.404633199999999</v>
      </c>
      <c r="K32" s="67"/>
      <c r="L32" s="68"/>
      <c r="M32" s="22"/>
      <c r="N32" s="137"/>
    </row>
    <row r="33" spans="1:16" s="162" customFormat="1" ht="14.4" customHeight="1" x14ac:dyDescent="0.3">
      <c r="A33" s="156" t="s">
        <v>89</v>
      </c>
      <c r="B33" s="157">
        <v>0.83</v>
      </c>
      <c r="C33" s="158"/>
      <c r="D33" s="163">
        <v>0.01</v>
      </c>
      <c r="E33" s="158"/>
      <c r="F33" s="163">
        <v>0.01</v>
      </c>
      <c r="G33" s="158"/>
      <c r="H33" s="163">
        <v>0.01</v>
      </c>
      <c r="I33" s="159"/>
      <c r="J33" s="163">
        <v>0</v>
      </c>
      <c r="K33" s="160"/>
      <c r="L33" s="164"/>
      <c r="M33" s="165"/>
      <c r="N33" s="161"/>
    </row>
    <row r="34" spans="1:16" ht="14.4" customHeight="1" x14ac:dyDescent="0.3">
      <c r="A34" s="5"/>
      <c r="B34" s="9"/>
      <c r="C34" s="16">
        <v>0.2</v>
      </c>
      <c r="D34" s="21">
        <f>SUM(D27:D33)*C34</f>
        <v>9.5278687999999985</v>
      </c>
      <c r="E34" s="16"/>
      <c r="F34" s="21"/>
      <c r="G34" s="16"/>
      <c r="H34" s="21"/>
      <c r="I34" s="16"/>
      <c r="J34" s="21"/>
      <c r="K34" s="69"/>
      <c r="L34" s="68"/>
      <c r="M34" s="22"/>
      <c r="N34" s="137"/>
    </row>
    <row r="35" spans="1:16" ht="14.4" customHeight="1" x14ac:dyDescent="0.3">
      <c r="A35" s="62" t="s">
        <v>36</v>
      </c>
      <c r="B35" s="3">
        <f>SUM(B26:B34)-B29-B30</f>
        <v>14884.999999999998</v>
      </c>
      <c r="C35" s="17"/>
      <c r="D35" s="19">
        <f>SUM(D26:D34)</f>
        <v>57.167212799999994</v>
      </c>
      <c r="E35" s="17"/>
      <c r="F35" s="19">
        <f>SUM(F26:F34)</f>
        <v>14.745328300000009</v>
      </c>
      <c r="G35" s="17"/>
      <c r="H35" s="19">
        <f>SUM(H26:H34)</f>
        <v>14.894170000000011</v>
      </c>
      <c r="I35" s="17"/>
      <c r="J35" s="169">
        <f>SUM(J26:J34)</f>
        <v>15</v>
      </c>
      <c r="K35" s="70"/>
      <c r="L35" s="71">
        <f>SUM(L26:L34)</f>
        <v>0</v>
      </c>
      <c r="M35" s="22"/>
      <c r="N35" s="137"/>
    </row>
    <row r="36" spans="1:16" s="2" customFormat="1" ht="14.4" customHeight="1" x14ac:dyDescent="0.3">
      <c r="A36" s="151" t="s">
        <v>82</v>
      </c>
      <c r="B36" s="18"/>
      <c r="C36" s="15"/>
      <c r="D36" s="20"/>
      <c r="E36" s="15"/>
      <c r="F36" s="20"/>
      <c r="G36" s="15"/>
      <c r="H36" s="20"/>
      <c r="I36" s="15"/>
      <c r="J36" s="20"/>
      <c r="K36" s="65"/>
      <c r="L36" s="66"/>
      <c r="M36" s="61"/>
      <c r="N36" s="143"/>
    </row>
    <row r="37" spans="1:16" ht="14.4" customHeight="1" x14ac:dyDescent="0.3">
      <c r="A37" s="5" t="s">
        <v>13</v>
      </c>
      <c r="B37" s="9">
        <f>+BASES!I7</f>
        <v>1072484.9500000002</v>
      </c>
      <c r="C37" s="16">
        <v>3.2000000000000002E-3</v>
      </c>
      <c r="D37" s="21">
        <f>B37*C37</f>
        <v>3431.9518400000006</v>
      </c>
      <c r="E37" s="16">
        <v>8.9999999999999998E-4</v>
      </c>
      <c r="F37" s="21">
        <f>B37*E37</f>
        <v>965.23645500000009</v>
      </c>
      <c r="G37" s="16">
        <v>1E-3</v>
      </c>
      <c r="H37" s="21">
        <f>B37*G37</f>
        <v>1072.4849500000003</v>
      </c>
      <c r="I37" s="23">
        <v>4.0000000000000003E-5</v>
      </c>
      <c r="J37" s="21">
        <f>B37*I37</f>
        <v>42.899398000000012</v>
      </c>
      <c r="K37" s="67">
        <v>0</v>
      </c>
      <c r="L37" s="68">
        <f>ROUND(B37*K37,0)</f>
        <v>0</v>
      </c>
      <c r="M37" s="22"/>
      <c r="N37" s="137">
        <v>1073036.3500000001</v>
      </c>
      <c r="O37" s="135">
        <f>+B37-N37</f>
        <v>-551.39999999990687</v>
      </c>
      <c r="P37" s="135"/>
    </row>
    <row r="38" spans="1:16" ht="14.4" customHeight="1" x14ac:dyDescent="0.3">
      <c r="A38" s="5" t="s">
        <v>48</v>
      </c>
      <c r="B38" s="9">
        <v>551.4</v>
      </c>
      <c r="C38" s="16"/>
      <c r="D38" s="21"/>
      <c r="E38" s="16">
        <f>+E37</f>
        <v>8.9999999999999998E-4</v>
      </c>
      <c r="F38" s="21">
        <f t="shared" ref="F38:F40" si="4">B38*E38</f>
        <v>0.49625999999999998</v>
      </c>
      <c r="G38" s="16"/>
      <c r="H38" s="21"/>
      <c r="I38" s="23"/>
      <c r="J38" s="21"/>
      <c r="K38" s="69"/>
      <c r="L38" s="68"/>
      <c r="M38" s="22"/>
      <c r="N38" s="137">
        <v>0</v>
      </c>
      <c r="O38" s="135">
        <f>+B38-N38</f>
        <v>551.4</v>
      </c>
    </row>
    <row r="39" spans="1:16" ht="14.4" customHeight="1" x14ac:dyDescent="0.3">
      <c r="A39" s="5" t="s">
        <v>44</v>
      </c>
      <c r="B39" s="9">
        <v>0</v>
      </c>
      <c r="C39" s="16">
        <f>+C37</f>
        <v>3.2000000000000002E-3</v>
      </c>
      <c r="D39" s="21">
        <f>B39*C39</f>
        <v>0</v>
      </c>
      <c r="E39" s="16">
        <f>+E37</f>
        <v>8.9999999999999998E-4</v>
      </c>
      <c r="F39" s="21">
        <f t="shared" si="4"/>
        <v>0</v>
      </c>
      <c r="G39" s="16">
        <f>+G37</f>
        <v>1E-3</v>
      </c>
      <c r="H39" s="21">
        <f>B39*G39</f>
        <v>0</v>
      </c>
      <c r="I39" s="23"/>
      <c r="J39" s="21"/>
      <c r="K39" s="69"/>
      <c r="L39" s="68"/>
      <c r="M39" s="22"/>
      <c r="N39" s="137"/>
    </row>
    <row r="40" spans="1:16" ht="14.4" customHeight="1" x14ac:dyDescent="0.3">
      <c r="A40" s="5" t="s">
        <v>45</v>
      </c>
      <c r="B40" s="63">
        <f>700432.99*10/100</f>
        <v>70043.298999999999</v>
      </c>
      <c r="C40" s="16"/>
      <c r="D40" s="21"/>
      <c r="E40" s="16">
        <f>+E37</f>
        <v>8.9999999999999998E-4</v>
      </c>
      <c r="F40" s="21">
        <f t="shared" si="4"/>
        <v>63.038969099999996</v>
      </c>
      <c r="G40" s="16"/>
      <c r="H40" s="21"/>
      <c r="I40" s="23"/>
      <c r="J40" s="21"/>
      <c r="K40" s="69"/>
      <c r="L40" s="68"/>
      <c r="M40" s="22"/>
      <c r="N40" s="137">
        <f>-N37+1143079.87</f>
        <v>70043.520000000019</v>
      </c>
      <c r="O40" s="135">
        <f>+B40-N40</f>
        <v>-0.22100000001955777</v>
      </c>
    </row>
    <row r="41" spans="1:16" ht="14.4" customHeight="1" x14ac:dyDescent="0.3">
      <c r="A41" s="5" t="s">
        <v>46</v>
      </c>
      <c r="B41" s="9"/>
      <c r="C41" s="16"/>
      <c r="D41" s="21"/>
      <c r="E41" s="16"/>
      <c r="F41" s="21"/>
      <c r="G41" s="16"/>
      <c r="H41" s="21"/>
      <c r="I41" s="23"/>
      <c r="J41" s="21"/>
      <c r="K41" s="67">
        <v>0</v>
      </c>
      <c r="L41" s="68">
        <f>ROUND((B37*11.5/100)*K41,0)</f>
        <v>0</v>
      </c>
      <c r="M41" s="22"/>
      <c r="N41" s="137"/>
    </row>
    <row r="42" spans="1:16" ht="14.4" customHeight="1" x14ac:dyDescent="0.3">
      <c r="A42" s="5" t="s">
        <v>8</v>
      </c>
      <c r="B42" s="9"/>
      <c r="C42" s="16"/>
      <c r="D42" s="95">
        <f>+IF(SUM(D37:D41)&lt;$D$107,SUM($D$107-SUM(D37:D41)),0)</f>
        <v>0</v>
      </c>
      <c r="E42" s="16"/>
      <c r="F42" s="21"/>
      <c r="G42" s="16"/>
      <c r="H42" s="21"/>
      <c r="I42" s="23"/>
      <c r="J42" s="95">
        <f>+IF(J37&lt;$J$107,SUM($J$107-J37),0)</f>
        <v>0</v>
      </c>
      <c r="K42" s="67"/>
      <c r="L42" s="68"/>
      <c r="M42" s="22"/>
      <c r="N42" s="139"/>
    </row>
    <row r="43" spans="1:16" s="162" customFormat="1" ht="14.4" customHeight="1" x14ac:dyDescent="0.3">
      <c r="A43" s="156" t="s">
        <v>89</v>
      </c>
      <c r="B43" s="157">
        <v>-3.35</v>
      </c>
      <c r="C43" s="158"/>
      <c r="D43" s="163">
        <v>0</v>
      </c>
      <c r="E43" s="158"/>
      <c r="F43" s="163">
        <v>-0.28000000000000003</v>
      </c>
      <c r="G43" s="158"/>
      <c r="H43" s="163">
        <v>0.35</v>
      </c>
      <c r="I43" s="159"/>
      <c r="J43" s="163">
        <v>0.34</v>
      </c>
      <c r="K43" s="160"/>
      <c r="L43" s="164"/>
      <c r="M43" s="165"/>
      <c r="N43" s="161"/>
    </row>
    <row r="44" spans="1:16" ht="14.4" customHeight="1" x14ac:dyDescent="0.3">
      <c r="A44" s="5"/>
      <c r="B44" s="9"/>
      <c r="C44" s="16">
        <v>0.2</v>
      </c>
      <c r="D44" s="170">
        <f>SUM(D37:D43)*C44-686.39</f>
        <v>3.6800000020775769E-4</v>
      </c>
      <c r="E44" s="16"/>
      <c r="F44" s="21"/>
      <c r="G44" s="16"/>
      <c r="H44" s="21"/>
      <c r="I44" s="16"/>
      <c r="J44" s="21"/>
      <c r="K44" s="69"/>
      <c r="L44" s="68"/>
      <c r="M44" s="22"/>
      <c r="N44" s="139"/>
      <c r="P44" s="162" t="s">
        <v>93</v>
      </c>
    </row>
    <row r="45" spans="1:16" ht="14.4" customHeight="1" x14ac:dyDescent="0.3">
      <c r="A45" s="62" t="s">
        <v>36</v>
      </c>
      <c r="B45" s="3">
        <f>SUM(B36:B44)-B39-B40</f>
        <v>1073033</v>
      </c>
      <c r="C45" s="17"/>
      <c r="D45" s="154">
        <f>SUM(D36:D44)</f>
        <v>3431.9522080000006</v>
      </c>
      <c r="E45" s="17"/>
      <c r="F45" s="19">
        <f>SUM(F36:F44)</f>
        <v>1028.4916841000002</v>
      </c>
      <c r="G45" s="17"/>
      <c r="H45" s="19">
        <f>SUM(H36:H44)</f>
        <v>1072.8349500000002</v>
      </c>
      <c r="I45" s="17"/>
      <c r="J45" s="19">
        <f>SUM(J36:J44)</f>
        <v>43.239398000000016</v>
      </c>
      <c r="K45" s="70"/>
      <c r="L45" s="71">
        <f>SUM(L36:L44)</f>
        <v>0</v>
      </c>
      <c r="M45" s="22"/>
      <c r="N45" s="140"/>
    </row>
    <row r="46" spans="1:16" s="2" customFormat="1" ht="14.4" customHeight="1" x14ac:dyDescent="0.3">
      <c r="A46" s="8" t="s">
        <v>81</v>
      </c>
      <c r="B46" s="18"/>
      <c r="C46" s="15"/>
      <c r="D46" s="20"/>
      <c r="E46" s="15"/>
      <c r="F46" s="20"/>
      <c r="G46" s="15"/>
      <c r="H46" s="20"/>
      <c r="I46" s="15"/>
      <c r="J46" s="20"/>
      <c r="K46" s="65"/>
      <c r="L46" s="66"/>
      <c r="M46" s="61"/>
      <c r="N46" s="143"/>
    </row>
    <row r="47" spans="1:16" ht="14.4" customHeight="1" x14ac:dyDescent="0.3">
      <c r="A47" s="5" t="s">
        <v>13</v>
      </c>
      <c r="B47" s="168">
        <f>+BASES!K7</f>
        <v>971011.66</v>
      </c>
      <c r="C47" s="16">
        <v>3.2000000000000002E-3</v>
      </c>
      <c r="D47" s="21">
        <f>B47*C47</f>
        <v>3107.2373120000002</v>
      </c>
      <c r="E47" s="16">
        <v>8.9999999999999998E-4</v>
      </c>
      <c r="F47" s="21">
        <f>B47*E47</f>
        <v>873.91049399999997</v>
      </c>
      <c r="G47" s="16">
        <v>1E-3</v>
      </c>
      <c r="H47" s="21">
        <f>B47*G47</f>
        <v>971.01166000000001</v>
      </c>
      <c r="I47" s="23">
        <v>4.0000000000000003E-5</v>
      </c>
      <c r="J47" s="21">
        <f>B47*I47</f>
        <v>38.840466400000004</v>
      </c>
      <c r="K47" s="67">
        <v>0</v>
      </c>
      <c r="L47" s="68">
        <f>ROUND(B47*K47,0)</f>
        <v>0</v>
      </c>
      <c r="M47" s="22"/>
      <c r="N47" s="137">
        <v>971011.66</v>
      </c>
      <c r="O47" s="135">
        <f>+B47-N47</f>
        <v>0</v>
      </c>
      <c r="P47" s="166"/>
    </row>
    <row r="48" spans="1:16" ht="14.4" customHeight="1" x14ac:dyDescent="0.3">
      <c r="A48" s="5" t="s">
        <v>48</v>
      </c>
      <c r="B48" s="9">
        <v>0</v>
      </c>
      <c r="C48" s="16"/>
      <c r="D48" s="21"/>
      <c r="E48" s="16">
        <f>+E47</f>
        <v>8.9999999999999998E-4</v>
      </c>
      <c r="F48" s="21">
        <f t="shared" ref="F48:F50" si="5">B48*E48</f>
        <v>0</v>
      </c>
      <c r="G48" s="16"/>
      <c r="H48" s="21"/>
      <c r="I48" s="23"/>
      <c r="J48" s="21"/>
      <c r="K48" s="69"/>
      <c r="L48" s="68"/>
      <c r="M48" s="22"/>
      <c r="N48" s="137">
        <v>0</v>
      </c>
      <c r="O48" s="135">
        <f>+B48-N48</f>
        <v>0</v>
      </c>
    </row>
    <row r="49" spans="1:17" ht="14.4" customHeight="1" x14ac:dyDescent="0.3">
      <c r="A49" s="5" t="s">
        <v>44</v>
      </c>
      <c r="B49" s="9">
        <v>0</v>
      </c>
      <c r="C49" s="16">
        <f>+C47</f>
        <v>3.2000000000000002E-3</v>
      </c>
      <c r="D49" s="21">
        <f>B49*C49</f>
        <v>0</v>
      </c>
      <c r="E49" s="16">
        <f>+E47</f>
        <v>8.9999999999999998E-4</v>
      </c>
      <c r="F49" s="21">
        <f t="shared" si="5"/>
        <v>0</v>
      </c>
      <c r="G49" s="16">
        <f>+G47</f>
        <v>1E-3</v>
      </c>
      <c r="H49" s="21">
        <f>B49*G49</f>
        <v>0</v>
      </c>
      <c r="I49" s="23"/>
      <c r="J49" s="21"/>
      <c r="K49" s="69"/>
      <c r="L49" s="68"/>
      <c r="M49" s="22"/>
      <c r="N49" s="137"/>
    </row>
    <row r="50" spans="1:17" ht="14.4" customHeight="1" x14ac:dyDescent="0.3">
      <c r="A50" s="5" t="s">
        <v>45</v>
      </c>
      <c r="B50" s="63">
        <f>970105.28*10/100</f>
        <v>97010.528000000006</v>
      </c>
      <c r="C50" s="16"/>
      <c r="D50" s="21"/>
      <c r="E50" s="16">
        <f>+E47</f>
        <v>8.9999999999999998E-4</v>
      </c>
      <c r="F50" s="21">
        <f t="shared" si="5"/>
        <v>87.309475200000008</v>
      </c>
      <c r="G50" s="16"/>
      <c r="H50" s="21"/>
      <c r="I50" s="23"/>
      <c r="J50" s="21"/>
      <c r="K50" s="69"/>
      <c r="L50" s="68"/>
      <c r="M50" s="22"/>
      <c r="N50" s="137">
        <f>-N47+1068022.56</f>
        <v>97010.900000000023</v>
      </c>
      <c r="O50" s="135">
        <f>+B50-N50</f>
        <v>-0.37200000001757871</v>
      </c>
    </row>
    <row r="51" spans="1:17" ht="14.4" customHeight="1" x14ac:dyDescent="0.3">
      <c r="A51" s="5" t="s">
        <v>46</v>
      </c>
      <c r="B51" s="9"/>
      <c r="C51" s="16"/>
      <c r="D51" s="21"/>
      <c r="E51" s="16"/>
      <c r="F51" s="21"/>
      <c r="G51" s="16"/>
      <c r="H51" s="21"/>
      <c r="I51" s="23"/>
      <c r="J51" s="21"/>
      <c r="K51" s="67">
        <v>0</v>
      </c>
      <c r="L51" s="68">
        <f>ROUND((B47*11.5/100)*K51,0)</f>
        <v>0</v>
      </c>
      <c r="M51" s="22"/>
      <c r="N51" s="137"/>
    </row>
    <row r="52" spans="1:17" ht="14.4" customHeight="1" x14ac:dyDescent="0.3">
      <c r="A52" s="5" t="s">
        <v>8</v>
      </c>
      <c r="B52" s="9"/>
      <c r="C52" s="16"/>
      <c r="D52" s="95">
        <f>+IF(SUM(D47:D51)&lt;$D$107,SUM($D$107-SUM(D47:D51)),0)</f>
        <v>0</v>
      </c>
      <c r="E52" s="16"/>
      <c r="F52" s="21"/>
      <c r="G52" s="16"/>
      <c r="H52" s="21"/>
      <c r="I52" s="23"/>
      <c r="J52" s="95">
        <f>+IF(J47&lt;$J$107,SUM($J$107-J47),0)</f>
        <v>0</v>
      </c>
      <c r="K52" s="67"/>
      <c r="L52" s="68"/>
      <c r="M52" s="22"/>
      <c r="N52" s="139"/>
    </row>
    <row r="53" spans="1:17" s="162" customFormat="1" ht="14.4" customHeight="1" x14ac:dyDescent="0.3">
      <c r="A53" s="156" t="s">
        <v>89</v>
      </c>
      <c r="B53" s="157">
        <v>-12.66</v>
      </c>
      <c r="C53" s="158"/>
      <c r="D53" s="163">
        <v>2.0499999999999998</v>
      </c>
      <c r="E53" s="158"/>
      <c r="F53" s="163">
        <v>-1.29</v>
      </c>
      <c r="G53" s="158"/>
      <c r="H53" s="163">
        <v>2.98</v>
      </c>
      <c r="I53" s="159"/>
      <c r="J53" s="163">
        <v>-0.87</v>
      </c>
      <c r="K53" s="160"/>
      <c r="L53" s="164"/>
      <c r="M53" s="165"/>
      <c r="N53" s="161"/>
    </row>
    <row r="54" spans="1:17" ht="14.4" customHeight="1" x14ac:dyDescent="0.3">
      <c r="A54" s="5"/>
      <c r="B54" s="9"/>
      <c r="C54" s="16">
        <v>0.2</v>
      </c>
      <c r="D54" s="21">
        <f>SUM(D47:D53)*C54-0.01</f>
        <v>621.84746240000015</v>
      </c>
      <c r="E54" s="16"/>
      <c r="F54" s="21"/>
      <c r="G54" s="16"/>
      <c r="H54" s="21"/>
      <c r="I54" s="16"/>
      <c r="J54" s="21"/>
      <c r="K54" s="69"/>
      <c r="L54" s="68"/>
      <c r="M54" s="22"/>
      <c r="N54" s="139"/>
    </row>
    <row r="55" spans="1:17" ht="14.4" customHeight="1" x14ac:dyDescent="0.3">
      <c r="A55" s="62" t="s">
        <v>36</v>
      </c>
      <c r="B55" s="3">
        <f>SUM(B46:B54)-B49-B50</f>
        <v>970999.00000000012</v>
      </c>
      <c r="C55" s="17"/>
      <c r="D55" s="19">
        <f>SUM(D46:D54)-0.01</f>
        <v>3731.1247744000002</v>
      </c>
      <c r="E55" s="17"/>
      <c r="F55" s="19">
        <f>SUM(F46:F54)</f>
        <v>959.92996919999996</v>
      </c>
      <c r="G55" s="17"/>
      <c r="H55" s="19">
        <f>SUM(H46:H54)</f>
        <v>973.99166000000002</v>
      </c>
      <c r="I55" s="17"/>
      <c r="J55" s="19">
        <f>SUM(J46:J54)</f>
        <v>37.970466400000007</v>
      </c>
      <c r="K55" s="70"/>
      <c r="L55" s="71">
        <f>SUM(L46:L54)</f>
        <v>0</v>
      </c>
      <c r="M55" s="22"/>
      <c r="N55" s="140"/>
    </row>
    <row r="56" spans="1:17" s="2" customFormat="1" ht="14.4" customHeight="1" x14ac:dyDescent="0.3">
      <c r="A56" s="151" t="s">
        <v>80</v>
      </c>
      <c r="B56" s="18"/>
      <c r="C56" s="15"/>
      <c r="D56" s="20"/>
      <c r="E56" s="15"/>
      <c r="F56" s="20"/>
      <c r="G56" s="15"/>
      <c r="H56" s="20"/>
      <c r="I56" s="15"/>
      <c r="J56" s="20"/>
      <c r="K56" s="65"/>
      <c r="L56" s="66"/>
      <c r="M56" s="61"/>
      <c r="N56" s="138"/>
    </row>
    <row r="57" spans="1:17" ht="14.4" customHeight="1" x14ac:dyDescent="0.3">
      <c r="A57" s="5" t="s">
        <v>13</v>
      </c>
      <c r="B57" s="9">
        <f>+BASES!M7</f>
        <v>2621430.75</v>
      </c>
      <c r="C57" s="16">
        <v>3.2000000000000002E-3</v>
      </c>
      <c r="D57" s="21">
        <f>B57*C57</f>
        <v>8388.5784000000003</v>
      </c>
      <c r="E57" s="16">
        <v>8.9999999999999998E-4</v>
      </c>
      <c r="F57" s="21">
        <f>B57*E57</f>
        <v>2359.287675</v>
      </c>
      <c r="G57" s="16">
        <v>1E-3</v>
      </c>
      <c r="H57" s="21">
        <f>B57*G57</f>
        <v>2621.43075</v>
      </c>
      <c r="I57" s="23">
        <v>4.0000000000000003E-5</v>
      </c>
      <c r="J57" s="21">
        <f>B57*I57</f>
        <v>104.85723000000002</v>
      </c>
      <c r="K57" s="67">
        <v>0</v>
      </c>
      <c r="L57" s="68">
        <f>ROUND(B57*K57,0)</f>
        <v>0</v>
      </c>
      <c r="M57" s="22"/>
      <c r="N57" s="137">
        <f>2621430.75</f>
        <v>2621430.75</v>
      </c>
      <c r="O57" s="135">
        <f>+B57-N57</f>
        <v>0</v>
      </c>
      <c r="P57" s="167">
        <v>1426.8</v>
      </c>
      <c r="Q57" s="162" t="s">
        <v>91</v>
      </c>
    </row>
    <row r="58" spans="1:17" ht="14.4" customHeight="1" x14ac:dyDescent="0.3">
      <c r="A58" s="5" t="s">
        <v>48</v>
      </c>
      <c r="B58" s="9">
        <v>1426.8</v>
      </c>
      <c r="C58" s="16"/>
      <c r="D58" s="21"/>
      <c r="E58" s="16">
        <f>+E57</f>
        <v>8.9999999999999998E-4</v>
      </c>
      <c r="F58" s="21">
        <f t="shared" ref="F58:F60" si="6">B58*E58</f>
        <v>1.2841199999999999</v>
      </c>
      <c r="G58" s="16"/>
      <c r="H58" s="21"/>
      <c r="I58" s="23"/>
      <c r="J58" s="21"/>
      <c r="K58" s="69"/>
      <c r="L58" s="68"/>
      <c r="M58" s="22"/>
      <c r="N58" s="137">
        <v>0</v>
      </c>
      <c r="O58" s="135">
        <f>+B58-N58</f>
        <v>1426.8</v>
      </c>
    </row>
    <row r="59" spans="1:17" ht="14.4" customHeight="1" x14ac:dyDescent="0.3">
      <c r="A59" s="5" t="s">
        <v>44</v>
      </c>
      <c r="B59" s="9">
        <v>0</v>
      </c>
      <c r="C59" s="16">
        <f>+C57</f>
        <v>3.2000000000000002E-3</v>
      </c>
      <c r="D59" s="21">
        <f>B59*C59</f>
        <v>0</v>
      </c>
      <c r="E59" s="16">
        <f>+E57</f>
        <v>8.9999999999999998E-4</v>
      </c>
      <c r="F59" s="21">
        <f t="shared" si="6"/>
        <v>0</v>
      </c>
      <c r="G59" s="16">
        <f>+G57</f>
        <v>1E-3</v>
      </c>
      <c r="H59" s="21">
        <f>B59*G59</f>
        <v>0</v>
      </c>
      <c r="I59" s="23"/>
      <c r="J59" s="21"/>
      <c r="K59" s="69"/>
      <c r="L59" s="68"/>
      <c r="M59" s="22"/>
      <c r="N59" s="137"/>
    </row>
    <row r="60" spans="1:17" ht="14.4" customHeight="1" x14ac:dyDescent="0.3">
      <c r="A60" s="5" t="s">
        <v>45</v>
      </c>
      <c r="B60" s="63">
        <f>2308394.04*10/100</f>
        <v>230839.40399999998</v>
      </c>
      <c r="C60" s="16"/>
      <c r="D60" s="21"/>
      <c r="E60" s="16">
        <f>+E57</f>
        <v>8.9999999999999998E-4</v>
      </c>
      <c r="F60" s="21">
        <f t="shared" si="6"/>
        <v>207.75546359999998</v>
      </c>
      <c r="G60" s="16"/>
      <c r="H60" s="21"/>
      <c r="I60" s="23"/>
      <c r="J60" s="21"/>
      <c r="K60" s="69"/>
      <c r="L60" s="68"/>
      <c r="M60" s="22"/>
      <c r="N60" s="137">
        <f>-N57+2853697.18-1426.8</f>
        <v>230839.63000000018</v>
      </c>
      <c r="O60" s="135">
        <f>+B60-N60</f>
        <v>-0.22600000019883737</v>
      </c>
    </row>
    <row r="61" spans="1:17" ht="14.4" customHeight="1" x14ac:dyDescent="0.3">
      <c r="A61" s="5" t="s">
        <v>46</v>
      </c>
      <c r="B61" s="9"/>
      <c r="C61" s="16"/>
      <c r="D61" s="21"/>
      <c r="E61" s="16"/>
      <c r="F61" s="21"/>
      <c r="G61" s="16"/>
      <c r="H61" s="21"/>
      <c r="I61" s="23"/>
      <c r="J61" s="21"/>
      <c r="K61" s="67">
        <v>0</v>
      </c>
      <c r="L61" s="68">
        <f>ROUND((B57*11.5/100)*K61,0)</f>
        <v>0</v>
      </c>
      <c r="M61" s="22"/>
      <c r="N61" s="137"/>
    </row>
    <row r="62" spans="1:17" ht="14.4" customHeight="1" x14ac:dyDescent="0.3">
      <c r="A62" s="5" t="s">
        <v>8</v>
      </c>
      <c r="B62" s="9"/>
      <c r="C62" s="16"/>
      <c r="D62" s="95">
        <f>+IF(SUM(D57:D61)&lt;$D$107,SUM($D$107-SUM(D57:D61)),0)</f>
        <v>0</v>
      </c>
      <c r="E62" s="16"/>
      <c r="F62" s="21"/>
      <c r="G62" s="16"/>
      <c r="H62" s="21"/>
      <c r="I62" s="23"/>
      <c r="J62" s="95">
        <f>+IF(J57&lt;$J$107,SUM($J$107-J57),0)</f>
        <v>0</v>
      </c>
      <c r="K62" s="67"/>
      <c r="L62" s="68"/>
      <c r="M62" s="22"/>
      <c r="N62" s="139"/>
    </row>
    <row r="63" spans="1:17" s="162" customFormat="1" ht="14.4" customHeight="1" x14ac:dyDescent="0.3">
      <c r="A63" s="156" t="s">
        <v>89</v>
      </c>
      <c r="B63" s="157">
        <v>-21.55</v>
      </c>
      <c r="C63" s="158"/>
      <c r="D63" s="163">
        <v>2.57</v>
      </c>
      <c r="E63" s="158"/>
      <c r="F63" s="163">
        <v>2.16</v>
      </c>
      <c r="G63" s="158"/>
      <c r="H63" s="163">
        <v>2.76</v>
      </c>
      <c r="I63" s="159"/>
      <c r="J63" s="163">
        <v>4.29</v>
      </c>
      <c r="K63" s="160"/>
      <c r="L63" s="164"/>
      <c r="M63" s="165"/>
      <c r="N63" s="161"/>
    </row>
    <row r="64" spans="1:17" ht="14.4" customHeight="1" x14ac:dyDescent="0.3">
      <c r="A64" s="5"/>
      <c r="B64" s="9"/>
      <c r="C64" s="16">
        <v>0.2</v>
      </c>
      <c r="D64" s="21">
        <f>SUM(D57:D63)*C64</f>
        <v>1678.2296800000001</v>
      </c>
      <c r="E64" s="16"/>
      <c r="F64" s="21"/>
      <c r="G64" s="16"/>
      <c r="H64" s="21"/>
      <c r="I64" s="16"/>
      <c r="J64" s="21"/>
      <c r="K64" s="69"/>
      <c r="L64" s="68"/>
      <c r="M64" s="22"/>
      <c r="N64" s="139"/>
    </row>
    <row r="65" spans="1:15" ht="14.4" customHeight="1" x14ac:dyDescent="0.3">
      <c r="A65" s="62" t="s">
        <v>36</v>
      </c>
      <c r="B65" s="3">
        <f>SUM(B56:B64)-B59-B60</f>
        <v>2622836</v>
      </c>
      <c r="C65" s="17"/>
      <c r="D65" s="19">
        <f>SUM(D56:D64)</f>
        <v>10069.37808</v>
      </c>
      <c r="E65" s="17"/>
      <c r="F65" s="19">
        <f>SUM(F56:F64)</f>
        <v>2570.4872585999997</v>
      </c>
      <c r="G65" s="17"/>
      <c r="H65" s="19">
        <f>SUM(H56:H64)</f>
        <v>2624.1907500000002</v>
      </c>
      <c r="I65" s="17"/>
      <c r="J65" s="19">
        <f>SUM(J56:J64)</f>
        <v>109.14723000000002</v>
      </c>
      <c r="K65" s="70"/>
      <c r="L65" s="71">
        <f>SUM(L56:L64)</f>
        <v>0</v>
      </c>
      <c r="M65" s="22"/>
      <c r="N65" s="140"/>
    </row>
    <row r="66" spans="1:15" s="2" customFormat="1" ht="14.4" customHeight="1" x14ac:dyDescent="0.3">
      <c r="A66" s="8" t="s">
        <v>75</v>
      </c>
      <c r="B66" s="18"/>
      <c r="C66" s="15"/>
      <c r="D66" s="20"/>
      <c r="E66" s="15"/>
      <c r="F66" s="20"/>
      <c r="G66" s="15"/>
      <c r="H66" s="20"/>
      <c r="I66" s="15"/>
      <c r="J66" s="20"/>
      <c r="K66" s="65"/>
      <c r="L66" s="66"/>
      <c r="M66" s="61"/>
      <c r="N66" s="138"/>
    </row>
    <row r="67" spans="1:15" ht="14.4" customHeight="1" x14ac:dyDescent="0.3">
      <c r="A67" s="5" t="s">
        <v>13</v>
      </c>
      <c r="B67" s="9">
        <f>+BASES!O7</f>
        <v>1312035.02</v>
      </c>
      <c r="C67" s="16">
        <v>3.2000000000000002E-3</v>
      </c>
      <c r="D67" s="21">
        <f>B67*C67</f>
        <v>4198.5120640000005</v>
      </c>
      <c r="E67" s="16">
        <v>8.9999999999999998E-4</v>
      </c>
      <c r="F67" s="21">
        <f>B67*E67</f>
        <v>1180.831518</v>
      </c>
      <c r="G67" s="16">
        <v>1E-3</v>
      </c>
      <c r="H67" s="21">
        <f>B67*G67</f>
        <v>1312.03502</v>
      </c>
      <c r="I67" s="23">
        <v>4.0000000000000003E-5</v>
      </c>
      <c r="J67" s="21">
        <f>B67*I67</f>
        <v>52.481400800000003</v>
      </c>
      <c r="K67" s="67">
        <v>0</v>
      </c>
      <c r="L67" s="68">
        <f>ROUND(B67*K67,0)</f>
        <v>0</v>
      </c>
      <c r="M67" s="22"/>
      <c r="N67" s="137">
        <v>1312035.03</v>
      </c>
      <c r="O67" s="135">
        <f>+B67-N67</f>
        <v>-1.0000000009313226E-2</v>
      </c>
    </row>
    <row r="68" spans="1:15" ht="14.4" customHeight="1" x14ac:dyDescent="0.3">
      <c r="A68" s="5" t="s">
        <v>48</v>
      </c>
      <c r="B68" s="9">
        <v>0</v>
      </c>
      <c r="C68" s="16"/>
      <c r="D68" s="21"/>
      <c r="E68" s="16">
        <f>+E67</f>
        <v>8.9999999999999998E-4</v>
      </c>
      <c r="F68" s="21">
        <f t="shared" ref="F68:F70" si="7">B68*E68</f>
        <v>0</v>
      </c>
      <c r="G68" s="16"/>
      <c r="H68" s="21"/>
      <c r="I68" s="23"/>
      <c r="J68" s="21"/>
      <c r="K68" s="69"/>
      <c r="L68" s="68"/>
      <c r="M68" s="22"/>
      <c r="N68" s="137">
        <v>0</v>
      </c>
      <c r="O68" s="135">
        <f>+B68-N68</f>
        <v>0</v>
      </c>
    </row>
    <row r="69" spans="1:15" ht="14.4" customHeight="1" x14ac:dyDescent="0.3">
      <c r="A69" s="5" t="s">
        <v>44</v>
      </c>
      <c r="B69" s="9">
        <v>0</v>
      </c>
      <c r="C69" s="16">
        <f>+C67</f>
        <v>3.2000000000000002E-3</v>
      </c>
      <c r="D69" s="21">
        <f>B69*C69</f>
        <v>0</v>
      </c>
      <c r="E69" s="16">
        <f>+E67</f>
        <v>8.9999999999999998E-4</v>
      </c>
      <c r="F69" s="21">
        <f t="shared" si="7"/>
        <v>0</v>
      </c>
      <c r="G69" s="16">
        <f>+G67</f>
        <v>1E-3</v>
      </c>
      <c r="H69" s="21">
        <f>B69*G69</f>
        <v>0</v>
      </c>
      <c r="I69" s="23"/>
      <c r="J69" s="21"/>
      <c r="K69" s="69"/>
      <c r="L69" s="68"/>
      <c r="M69" s="22"/>
      <c r="N69" s="137"/>
    </row>
    <row r="70" spans="1:15" ht="14.4" customHeight="1" x14ac:dyDescent="0.3">
      <c r="A70" s="5" t="s">
        <v>45</v>
      </c>
      <c r="B70" s="63">
        <f>(108225+1092857)*10/100</f>
        <v>120108.2</v>
      </c>
      <c r="C70" s="16"/>
      <c r="D70" s="21"/>
      <c r="E70" s="16">
        <f>+E67</f>
        <v>8.9999999999999998E-4</v>
      </c>
      <c r="F70" s="21">
        <f t="shared" si="7"/>
        <v>108.09738</v>
      </c>
      <c r="G70" s="16"/>
      <c r="H70" s="21"/>
      <c r="I70" s="23"/>
      <c r="J70" s="21"/>
      <c r="K70" s="69"/>
      <c r="L70" s="68"/>
      <c r="M70" s="22"/>
      <c r="N70" s="137">
        <f>-N67+1432143.45</f>
        <v>120108.41999999993</v>
      </c>
      <c r="O70" s="135">
        <f>+B70-N70</f>
        <v>-0.21999999992840458</v>
      </c>
    </row>
    <row r="71" spans="1:15" ht="14.4" customHeight="1" x14ac:dyDescent="0.3">
      <c r="A71" s="5" t="s">
        <v>46</v>
      </c>
      <c r="B71" s="9"/>
      <c r="C71" s="16"/>
      <c r="D71" s="21"/>
      <c r="E71" s="16"/>
      <c r="F71" s="21"/>
      <c r="G71" s="16"/>
      <c r="H71" s="21"/>
      <c r="I71" s="23"/>
      <c r="J71" s="21"/>
      <c r="K71" s="67">
        <v>0</v>
      </c>
      <c r="L71" s="68">
        <f>ROUND((B67*11.5/100)*K71,0)</f>
        <v>0</v>
      </c>
      <c r="M71" s="22"/>
      <c r="N71" s="137"/>
    </row>
    <row r="72" spans="1:15" ht="14.4" customHeight="1" x14ac:dyDescent="0.3">
      <c r="A72" s="5" t="s">
        <v>8</v>
      </c>
      <c r="B72" s="9"/>
      <c r="C72" s="16"/>
      <c r="D72" s="95">
        <f>+IF(SUM(D67:D71)&lt;$D$107,SUM($D$107-SUM(D67:D71)),0)</f>
        <v>0</v>
      </c>
      <c r="E72" s="16"/>
      <c r="F72" s="21"/>
      <c r="G72" s="16"/>
      <c r="H72" s="21"/>
      <c r="I72" s="23"/>
      <c r="J72" s="95">
        <f>+IF(J67&lt;$J$107,SUM($J$107-J67),0)</f>
        <v>0</v>
      </c>
      <c r="K72" s="67"/>
      <c r="L72" s="68"/>
      <c r="M72" s="22"/>
      <c r="N72" s="139"/>
    </row>
    <row r="73" spans="1:15" s="162" customFormat="1" ht="14.4" customHeight="1" x14ac:dyDescent="0.3">
      <c r="A73" s="156" t="s">
        <v>89</v>
      </c>
      <c r="B73" s="157">
        <v>-2.02</v>
      </c>
      <c r="C73" s="158"/>
      <c r="D73" s="163">
        <v>0.2</v>
      </c>
      <c r="E73" s="158"/>
      <c r="F73" s="163">
        <v>0.19</v>
      </c>
      <c r="G73" s="158"/>
      <c r="H73" s="163">
        <v>0.21</v>
      </c>
      <c r="I73" s="159"/>
      <c r="J73" s="163">
        <v>0.24</v>
      </c>
      <c r="K73" s="160"/>
      <c r="L73" s="164"/>
      <c r="M73" s="165"/>
      <c r="N73" s="161"/>
    </row>
    <row r="74" spans="1:15" ht="14.4" customHeight="1" x14ac:dyDescent="0.3">
      <c r="A74" s="5"/>
      <c r="B74" s="9"/>
      <c r="C74" s="16">
        <v>0.2</v>
      </c>
      <c r="D74" s="21">
        <f>SUM(D67:D73)*C74</f>
        <v>839.74241280000012</v>
      </c>
      <c r="E74" s="16"/>
      <c r="F74" s="21"/>
      <c r="G74" s="16"/>
      <c r="H74" s="21"/>
      <c r="I74" s="16"/>
      <c r="J74" s="21"/>
      <c r="K74" s="69"/>
      <c r="L74" s="68"/>
      <c r="M74" s="22"/>
      <c r="N74" s="139"/>
    </row>
    <row r="75" spans="1:15" ht="14.4" customHeight="1" x14ac:dyDescent="0.3">
      <c r="A75" s="62" t="s">
        <v>36</v>
      </c>
      <c r="B75" s="3">
        <f>SUM(B66:B74)-B69-B70</f>
        <v>1312033</v>
      </c>
      <c r="C75" s="17"/>
      <c r="D75" s="19">
        <f>SUM(D66:D74)</f>
        <v>5038.4544768000005</v>
      </c>
      <c r="E75" s="17"/>
      <c r="F75" s="19">
        <f>SUM(F66:F74)</f>
        <v>1289.1188979999999</v>
      </c>
      <c r="G75" s="17"/>
      <c r="H75" s="19">
        <f>SUM(H66:H74)</f>
        <v>1312.2450200000001</v>
      </c>
      <c r="I75" s="17"/>
      <c r="J75" s="19">
        <f>SUM(J66:J74)</f>
        <v>52.721400800000005</v>
      </c>
      <c r="K75" s="70"/>
      <c r="L75" s="71">
        <f>SUM(L66:L74)</f>
        <v>0</v>
      </c>
      <c r="M75" s="22"/>
      <c r="N75" s="140"/>
    </row>
    <row r="76" spans="1:15" s="2" customFormat="1" ht="14.4" customHeight="1" x14ac:dyDescent="0.3">
      <c r="A76" s="8" t="s">
        <v>69</v>
      </c>
      <c r="B76" s="18"/>
      <c r="C76" s="15"/>
      <c r="D76" s="20"/>
      <c r="E76" s="15"/>
      <c r="F76" s="20"/>
      <c r="G76" s="15"/>
      <c r="H76" s="20"/>
      <c r="I76" s="15"/>
      <c r="J76" s="20"/>
      <c r="K76" s="65"/>
      <c r="L76" s="66"/>
      <c r="M76" s="61"/>
      <c r="N76" s="138"/>
    </row>
    <row r="77" spans="1:15" ht="14.4" customHeight="1" x14ac:dyDescent="0.3">
      <c r="A77" s="5" t="s">
        <v>13</v>
      </c>
      <c r="B77" s="9">
        <f>+BASES!Q7</f>
        <v>199639.61</v>
      </c>
      <c r="C77" s="16">
        <v>3.2000000000000002E-3</v>
      </c>
      <c r="D77" s="21">
        <f>B77*C77</f>
        <v>638.84675200000004</v>
      </c>
      <c r="E77" s="16">
        <v>8.9999999999999998E-4</v>
      </c>
      <c r="F77" s="21">
        <f>B77*E77</f>
        <v>179.67564899999999</v>
      </c>
      <c r="G77" s="16">
        <v>1E-3</v>
      </c>
      <c r="H77" s="21">
        <f>B77*G77</f>
        <v>199.63960999999998</v>
      </c>
      <c r="I77" s="23">
        <v>4.0000000000000003E-5</v>
      </c>
      <c r="J77" s="21">
        <f>B77*I77</f>
        <v>7.9855844000000005</v>
      </c>
      <c r="K77" s="67">
        <v>0</v>
      </c>
      <c r="L77" s="68">
        <f>ROUND(B77*K77,0)</f>
        <v>0</v>
      </c>
      <c r="M77" s="22"/>
      <c r="N77" s="137">
        <v>199639.61</v>
      </c>
      <c r="O77" s="135">
        <f>+B77-N77</f>
        <v>0</v>
      </c>
    </row>
    <row r="78" spans="1:15" ht="14.4" customHeight="1" x14ac:dyDescent="0.3">
      <c r="A78" s="5" t="s">
        <v>48</v>
      </c>
      <c r="B78" s="9">
        <v>0</v>
      </c>
      <c r="C78" s="16"/>
      <c r="D78" s="21"/>
      <c r="E78" s="16">
        <f>+E77</f>
        <v>8.9999999999999998E-4</v>
      </c>
      <c r="F78" s="21">
        <f t="shared" ref="F78:F80" si="8">B78*E78</f>
        <v>0</v>
      </c>
      <c r="G78" s="16"/>
      <c r="H78" s="21"/>
      <c r="I78" s="23"/>
      <c r="J78" s="21"/>
      <c r="K78" s="69"/>
      <c r="L78" s="68"/>
      <c r="M78" s="22"/>
      <c r="N78" s="137">
        <v>0</v>
      </c>
      <c r="O78" s="135">
        <f>+B78-N78</f>
        <v>0</v>
      </c>
    </row>
    <row r="79" spans="1:15" ht="14.4" customHeight="1" x14ac:dyDescent="0.3">
      <c r="A79" s="5" t="s">
        <v>44</v>
      </c>
      <c r="B79" s="9">
        <v>0</v>
      </c>
      <c r="C79" s="16">
        <f>+C77</f>
        <v>3.2000000000000002E-3</v>
      </c>
      <c r="D79" s="21">
        <f>B79*C79</f>
        <v>0</v>
      </c>
      <c r="E79" s="16">
        <f>+E77</f>
        <v>8.9999999999999998E-4</v>
      </c>
      <c r="F79" s="21">
        <f t="shared" ref="F79" si="9">B79*E79</f>
        <v>0</v>
      </c>
      <c r="G79" s="16">
        <f>+G77</f>
        <v>1E-3</v>
      </c>
      <c r="H79" s="21">
        <f>B79*G79</f>
        <v>0</v>
      </c>
      <c r="I79" s="23"/>
      <c r="J79" s="21"/>
      <c r="K79" s="69"/>
      <c r="L79" s="68"/>
      <c r="M79" s="22"/>
      <c r="N79" s="137"/>
    </row>
    <row r="80" spans="1:15" ht="14.4" customHeight="1" x14ac:dyDescent="0.3">
      <c r="A80" s="5" t="s">
        <v>45</v>
      </c>
      <c r="B80" s="63">
        <f>(48244+148396)*10/100</f>
        <v>19664</v>
      </c>
      <c r="C80" s="16"/>
      <c r="D80" s="21"/>
      <c r="E80" s="16">
        <f>+E77</f>
        <v>8.9999999999999998E-4</v>
      </c>
      <c r="F80" s="21">
        <f t="shared" si="8"/>
        <v>17.697599999999998</v>
      </c>
      <c r="G80" s="16"/>
      <c r="H80" s="21"/>
      <c r="I80" s="23"/>
      <c r="J80" s="21"/>
      <c r="K80" s="69"/>
      <c r="L80" s="68"/>
      <c r="M80" s="22"/>
      <c r="N80" s="137">
        <f>-N77+219303.62</f>
        <v>19664.010000000009</v>
      </c>
      <c r="O80" s="135">
        <f>+B80-N80</f>
        <v>-1.0000000009313226E-2</v>
      </c>
    </row>
    <row r="81" spans="1:15" ht="14.4" customHeight="1" x14ac:dyDescent="0.3">
      <c r="A81" s="5" t="s">
        <v>46</v>
      </c>
      <c r="B81" s="9"/>
      <c r="C81" s="16"/>
      <c r="D81" s="21"/>
      <c r="E81" s="16"/>
      <c r="F81" s="21"/>
      <c r="G81" s="16"/>
      <c r="H81" s="21"/>
      <c r="I81" s="23"/>
      <c r="J81" s="21"/>
      <c r="K81" s="67">
        <v>0</v>
      </c>
      <c r="L81" s="68">
        <f>ROUND((B77*11.5/100)*K81,0)</f>
        <v>0</v>
      </c>
      <c r="M81" s="22"/>
      <c r="N81" s="137"/>
    </row>
    <row r="82" spans="1:15" ht="14.4" customHeight="1" x14ac:dyDescent="0.3">
      <c r="A82" s="5" t="s">
        <v>8</v>
      </c>
      <c r="B82" s="9"/>
      <c r="C82" s="16"/>
      <c r="D82" s="95">
        <f>+IF(SUM(D77:D81)&lt;$D$107,SUM($D$107-SUM(D77:D81)),0)</f>
        <v>0</v>
      </c>
      <c r="E82" s="16"/>
      <c r="F82" s="21"/>
      <c r="G82" s="16"/>
      <c r="H82" s="21"/>
      <c r="I82" s="23"/>
      <c r="J82" s="95">
        <f>+IF(J77&lt;$J$107,SUM($J$107-J77),0)</f>
        <v>7.0144155999999995</v>
      </c>
      <c r="K82" s="67"/>
      <c r="L82" s="68"/>
      <c r="M82" s="22"/>
      <c r="N82" s="137"/>
    </row>
    <row r="83" spans="1:15" s="162" customFormat="1" ht="14.4" customHeight="1" x14ac:dyDescent="0.3">
      <c r="A83" s="156" t="s">
        <v>89</v>
      </c>
      <c r="B83" s="157">
        <v>1.39</v>
      </c>
      <c r="C83" s="158"/>
      <c r="D83" s="163">
        <v>0.04</v>
      </c>
      <c r="E83" s="158"/>
      <c r="F83" s="163">
        <v>0.03</v>
      </c>
      <c r="G83" s="158"/>
      <c r="H83" s="163">
        <v>0.04</v>
      </c>
      <c r="I83" s="159"/>
      <c r="J83" s="163">
        <v>0</v>
      </c>
      <c r="K83" s="160"/>
      <c r="L83" s="164"/>
      <c r="M83" s="165"/>
      <c r="N83" s="161"/>
    </row>
    <row r="84" spans="1:15" ht="14.4" customHeight="1" x14ac:dyDescent="0.3">
      <c r="A84" s="5"/>
      <c r="B84" s="9"/>
      <c r="C84" s="16">
        <v>0.2</v>
      </c>
      <c r="D84" s="21">
        <f>SUM(D77:D83)*C84</f>
        <v>127.7773504</v>
      </c>
      <c r="E84" s="16"/>
      <c r="F84" s="21"/>
      <c r="G84" s="16"/>
      <c r="H84" s="21"/>
      <c r="I84" s="16"/>
      <c r="J84" s="21"/>
      <c r="K84" s="69"/>
      <c r="L84" s="68"/>
      <c r="M84" s="22"/>
      <c r="N84" s="137"/>
    </row>
    <row r="85" spans="1:15" ht="14.4" customHeight="1" x14ac:dyDescent="0.3">
      <c r="A85" s="62" t="s">
        <v>36</v>
      </c>
      <c r="B85" s="3">
        <f>SUM(B76:B84)-B79-B80</f>
        <v>199641</v>
      </c>
      <c r="C85" s="17"/>
      <c r="D85" s="19">
        <f>SUM(D76:D84)+0.01</f>
        <v>766.67410240000004</v>
      </c>
      <c r="E85" s="17"/>
      <c r="F85" s="19">
        <f>SUM(F76:F84)</f>
        <v>197.40324899999999</v>
      </c>
      <c r="G85" s="171"/>
      <c r="H85" s="19">
        <f>SUM(H76:H84)</f>
        <v>199.67960999999997</v>
      </c>
      <c r="I85" s="171"/>
      <c r="J85" s="19">
        <f>SUM(J76:J84)</f>
        <v>15</v>
      </c>
      <c r="K85" s="70"/>
      <c r="L85" s="71">
        <f>SUM(L76:L84)</f>
        <v>0</v>
      </c>
      <c r="M85" s="22"/>
      <c r="N85" s="137"/>
    </row>
    <row r="86" spans="1:15" s="2" customFormat="1" ht="14.4" customHeight="1" x14ac:dyDescent="0.3">
      <c r="A86" s="8" t="s">
        <v>68</v>
      </c>
      <c r="B86" s="18"/>
      <c r="C86" s="15"/>
      <c r="D86" s="20"/>
      <c r="E86" s="15"/>
      <c r="F86" s="20"/>
      <c r="G86" s="15"/>
      <c r="H86" s="20"/>
      <c r="I86" s="15"/>
      <c r="J86" s="20"/>
      <c r="K86" s="65"/>
      <c r="L86" s="66"/>
      <c r="M86" s="61"/>
      <c r="N86" s="143"/>
    </row>
    <row r="87" spans="1:15" ht="14.4" customHeight="1" x14ac:dyDescent="0.3">
      <c r="A87" s="5" t="s">
        <v>13</v>
      </c>
      <c r="B87" s="9">
        <f>+BASES!S7</f>
        <v>97301.510000000009</v>
      </c>
      <c r="C87" s="16">
        <v>3.2000000000000002E-3</v>
      </c>
      <c r="D87" s="21">
        <f>B87*C87</f>
        <v>311.36483200000004</v>
      </c>
      <c r="E87" s="16">
        <v>8.9999999999999998E-4</v>
      </c>
      <c r="F87" s="21">
        <f>B87*E87</f>
        <v>87.571359000000001</v>
      </c>
      <c r="G87" s="16">
        <v>1E-3</v>
      </c>
      <c r="H87" s="21">
        <f>B87*G87</f>
        <v>97.301510000000007</v>
      </c>
      <c r="I87" s="23">
        <v>4.0000000000000003E-5</v>
      </c>
      <c r="J87" s="21">
        <f>B87*I87</f>
        <v>3.8920604000000005</v>
      </c>
      <c r="K87" s="67">
        <v>0</v>
      </c>
      <c r="L87" s="68">
        <f>ROUND(B87*K87,0)</f>
        <v>0</v>
      </c>
      <c r="M87" s="22"/>
      <c r="N87" s="137">
        <v>97301.51</v>
      </c>
      <c r="O87" s="135">
        <f>+B87-N87</f>
        <v>0</v>
      </c>
    </row>
    <row r="88" spans="1:15" ht="14.4" customHeight="1" x14ac:dyDescent="0.3">
      <c r="A88" s="5" t="s">
        <v>48</v>
      </c>
      <c r="B88" s="9">
        <v>0</v>
      </c>
      <c r="C88" s="16"/>
      <c r="D88" s="21"/>
      <c r="E88" s="16">
        <f>+E87</f>
        <v>8.9999999999999998E-4</v>
      </c>
      <c r="F88" s="21">
        <f t="shared" ref="F88:F90" si="10">B88*E88</f>
        <v>0</v>
      </c>
      <c r="G88" s="16"/>
      <c r="H88" s="21"/>
      <c r="I88" s="23"/>
      <c r="J88" s="21"/>
      <c r="K88" s="69"/>
      <c r="L88" s="68"/>
      <c r="M88" s="22"/>
      <c r="N88" s="137">
        <v>0</v>
      </c>
      <c r="O88" s="135">
        <f>+B88-N88</f>
        <v>0</v>
      </c>
    </row>
    <row r="89" spans="1:15" ht="14.4" customHeight="1" x14ac:dyDescent="0.3">
      <c r="A89" s="5" t="s">
        <v>44</v>
      </c>
      <c r="B89" s="9">
        <v>0</v>
      </c>
      <c r="C89" s="16">
        <f>+C87</f>
        <v>3.2000000000000002E-3</v>
      </c>
      <c r="D89" s="21">
        <f>B89*C89</f>
        <v>0</v>
      </c>
      <c r="E89" s="16">
        <f>+E87</f>
        <v>8.9999999999999998E-4</v>
      </c>
      <c r="F89" s="21">
        <f t="shared" si="10"/>
        <v>0</v>
      </c>
      <c r="G89" s="16">
        <f>+G87</f>
        <v>1E-3</v>
      </c>
      <c r="H89" s="21">
        <f>B89*G89</f>
        <v>0</v>
      </c>
      <c r="I89" s="23"/>
      <c r="J89" s="21"/>
      <c r="K89" s="69"/>
      <c r="L89" s="68"/>
      <c r="M89" s="22"/>
      <c r="N89" s="137"/>
    </row>
    <row r="90" spans="1:15" ht="14.4" customHeight="1" x14ac:dyDescent="0.3">
      <c r="A90" s="5" t="s">
        <v>45</v>
      </c>
      <c r="B90" s="63">
        <f>84901.51*10/100</f>
        <v>8490.1509999999998</v>
      </c>
      <c r="C90" s="16"/>
      <c r="D90" s="21"/>
      <c r="E90" s="16">
        <f>+E87</f>
        <v>8.9999999999999998E-4</v>
      </c>
      <c r="F90" s="21">
        <f t="shared" si="10"/>
        <v>7.6411358999999992</v>
      </c>
      <c r="G90" s="16"/>
      <c r="H90" s="21"/>
      <c r="I90" s="23"/>
      <c r="J90" s="21"/>
      <c r="K90" s="69"/>
      <c r="L90" s="68"/>
      <c r="M90" s="22"/>
      <c r="N90" s="137">
        <f>-N87+105791.66</f>
        <v>8490.1500000000087</v>
      </c>
      <c r="O90" s="135">
        <f>+B90-N90</f>
        <v>9.999999911087798E-4</v>
      </c>
    </row>
    <row r="91" spans="1:15" ht="14.4" customHeight="1" x14ac:dyDescent="0.3">
      <c r="A91" s="5" t="s">
        <v>46</v>
      </c>
      <c r="B91" s="9"/>
      <c r="C91" s="16"/>
      <c r="D91" s="21"/>
      <c r="E91" s="16"/>
      <c r="F91" s="21"/>
      <c r="G91" s="16"/>
      <c r="H91" s="21"/>
      <c r="I91" s="23"/>
      <c r="J91" s="21"/>
      <c r="K91" s="67">
        <v>0</v>
      </c>
      <c r="L91" s="68">
        <f>ROUND((B87*11.5/100)*K91,0)</f>
        <v>0</v>
      </c>
      <c r="M91" s="22"/>
      <c r="N91" s="137"/>
    </row>
    <row r="92" spans="1:15" ht="14.4" customHeight="1" x14ac:dyDescent="0.3">
      <c r="A92" s="5" t="s">
        <v>8</v>
      </c>
      <c r="B92" s="9"/>
      <c r="C92" s="16"/>
      <c r="D92" s="95">
        <f>+IF(SUM(D87:D91)&lt;$D$107,SUM($D$107-SUM(D87:D91)),0)</f>
        <v>0</v>
      </c>
      <c r="E92" s="16"/>
      <c r="F92" s="21"/>
      <c r="G92" s="16"/>
      <c r="H92" s="21"/>
      <c r="I92" s="23"/>
      <c r="J92" s="95">
        <f>+IF(J87&lt;$J$107,SUM($J$107-J87),0)</f>
        <v>11.1079396</v>
      </c>
      <c r="K92" s="67"/>
      <c r="L92" s="68"/>
      <c r="M92" s="22"/>
      <c r="N92" s="137"/>
    </row>
    <row r="93" spans="1:15" s="162" customFormat="1" ht="14.4" customHeight="1" x14ac:dyDescent="0.3">
      <c r="A93" s="156" t="s">
        <v>89</v>
      </c>
      <c r="B93" s="157">
        <v>2.4900000000000002</v>
      </c>
      <c r="C93" s="158"/>
      <c r="D93" s="163">
        <v>0.01</v>
      </c>
      <c r="E93" s="158"/>
      <c r="F93" s="163">
        <v>0.08</v>
      </c>
      <c r="G93" s="158"/>
      <c r="H93" s="163">
        <v>0.03</v>
      </c>
      <c r="I93" s="159"/>
      <c r="J93" s="163">
        <v>0</v>
      </c>
      <c r="K93" s="160"/>
      <c r="L93" s="164"/>
      <c r="M93" s="165"/>
      <c r="N93" s="161"/>
    </row>
    <row r="94" spans="1:15" ht="14.4" customHeight="1" x14ac:dyDescent="0.3">
      <c r="A94" s="5"/>
      <c r="B94" s="9"/>
      <c r="C94" s="16">
        <v>0.2</v>
      </c>
      <c r="D94" s="21">
        <f>SUM(D87:D93)*C94</f>
        <v>62.274966400000011</v>
      </c>
      <c r="E94" s="16"/>
      <c r="F94" s="21"/>
      <c r="G94" s="16"/>
      <c r="H94" s="21"/>
      <c r="I94" s="16"/>
      <c r="J94" s="21"/>
      <c r="K94" s="69"/>
      <c r="L94" s="68"/>
      <c r="M94" s="22"/>
      <c r="N94" s="137"/>
    </row>
    <row r="95" spans="1:15" ht="14.4" customHeight="1" x14ac:dyDescent="0.3">
      <c r="A95" s="62" t="s">
        <v>36</v>
      </c>
      <c r="B95" s="3">
        <f>SUM(B86:B94)-B89-B90</f>
        <v>97304.000000000015</v>
      </c>
      <c r="C95" s="17"/>
      <c r="D95" s="19">
        <f>SUM(D86:D94)-0.01</f>
        <v>373.63979840000002</v>
      </c>
      <c r="E95" s="17"/>
      <c r="F95" s="19">
        <f>SUM(F86:F94)</f>
        <v>95.292494899999994</v>
      </c>
      <c r="G95" s="17"/>
      <c r="H95" s="19">
        <f>SUM(H86:H94)</f>
        <v>97.331510000000009</v>
      </c>
      <c r="I95" s="17"/>
      <c r="J95" s="19">
        <f>SUM(J86:J94)</f>
        <v>15</v>
      </c>
      <c r="K95" s="70"/>
      <c r="L95" s="71">
        <f>SUM(L86:L94)</f>
        <v>0</v>
      </c>
      <c r="M95" s="22"/>
      <c r="N95" s="140"/>
    </row>
    <row r="96" spans="1:15" s="2" customFormat="1" ht="14.4" customHeight="1" x14ac:dyDescent="0.3">
      <c r="A96" s="8" t="s">
        <v>71</v>
      </c>
      <c r="B96" s="18"/>
      <c r="C96" s="15"/>
      <c r="D96" s="20"/>
      <c r="E96" s="15"/>
      <c r="F96" s="20"/>
      <c r="G96" s="15"/>
      <c r="H96" s="20"/>
      <c r="I96" s="15"/>
      <c r="J96" s="20"/>
      <c r="K96" s="65"/>
      <c r="L96" s="66"/>
      <c r="M96" s="61"/>
      <c r="N96" s="138"/>
    </row>
    <row r="97" spans="1:15" ht="14.4" customHeight="1" x14ac:dyDescent="0.3">
      <c r="A97" s="5" t="s">
        <v>13</v>
      </c>
      <c r="B97" s="9">
        <f>+BASES!U7</f>
        <v>77975.899999999994</v>
      </c>
      <c r="C97" s="16">
        <v>3.2000000000000002E-3</v>
      </c>
      <c r="D97" s="21">
        <f>B97*C97</f>
        <v>249.52287999999999</v>
      </c>
      <c r="E97" s="16">
        <v>8.9999999999999998E-4</v>
      </c>
      <c r="F97" s="21">
        <f>B97*E97-0.18</f>
        <v>69.998309999999989</v>
      </c>
      <c r="G97" s="16">
        <v>1E-3</v>
      </c>
      <c r="H97" s="21">
        <f>B97*G97</f>
        <v>77.975899999999996</v>
      </c>
      <c r="I97" s="23">
        <v>4.0000000000000003E-5</v>
      </c>
      <c r="J97" s="21">
        <f>B97*I97</f>
        <v>3.1190359999999999</v>
      </c>
      <c r="K97" s="67">
        <v>0</v>
      </c>
      <c r="L97" s="68">
        <f>ROUND(B97*K97,0)</f>
        <v>0</v>
      </c>
      <c r="M97" s="22"/>
      <c r="N97" s="137">
        <v>77975.899999999994</v>
      </c>
      <c r="O97" s="135">
        <f>+B97-N97</f>
        <v>0</v>
      </c>
    </row>
    <row r="98" spans="1:15" ht="14.4" customHeight="1" x14ac:dyDescent="0.3">
      <c r="A98" s="5" t="s">
        <v>48</v>
      </c>
      <c r="B98" s="9">
        <v>0</v>
      </c>
      <c r="C98" s="16"/>
      <c r="D98" s="21"/>
      <c r="E98" s="16">
        <f>+E97</f>
        <v>8.9999999999999998E-4</v>
      </c>
      <c r="F98" s="21">
        <f t="shared" ref="F98:F99" si="11">B98*E98</f>
        <v>0</v>
      </c>
      <c r="G98" s="16"/>
      <c r="H98" s="21"/>
      <c r="I98" s="23"/>
      <c r="J98" s="21"/>
      <c r="K98" s="69"/>
      <c r="L98" s="68"/>
      <c r="M98" s="22"/>
      <c r="N98" s="137">
        <v>0</v>
      </c>
      <c r="O98" s="135">
        <f>+B98-N98</f>
        <v>0</v>
      </c>
    </row>
    <row r="99" spans="1:15" ht="14.4" customHeight="1" x14ac:dyDescent="0.3">
      <c r="A99" s="5" t="s">
        <v>44</v>
      </c>
      <c r="B99" s="9">
        <v>0</v>
      </c>
      <c r="C99" s="16">
        <f>+C97</f>
        <v>3.2000000000000002E-3</v>
      </c>
      <c r="D99" s="21">
        <f>B99*C99</f>
        <v>0</v>
      </c>
      <c r="E99" s="16">
        <f>+E97</f>
        <v>8.9999999999999998E-4</v>
      </c>
      <c r="F99" s="21">
        <f t="shared" si="11"/>
        <v>0</v>
      </c>
      <c r="G99" s="16">
        <f>+G97</f>
        <v>1E-3</v>
      </c>
      <c r="H99" s="21">
        <f>B99*G99</f>
        <v>0</v>
      </c>
      <c r="I99" s="23"/>
      <c r="J99" s="21"/>
      <c r="K99" s="69"/>
      <c r="L99" s="68"/>
      <c r="M99" s="22"/>
      <c r="N99" s="137"/>
    </row>
    <row r="100" spans="1:15" ht="14.4" customHeight="1" x14ac:dyDescent="0.3">
      <c r="A100" s="5" t="s">
        <v>45</v>
      </c>
      <c r="B100" s="63">
        <f>77975.9*0.1</f>
        <v>7797.59</v>
      </c>
      <c r="C100" s="16"/>
      <c r="D100" s="21"/>
      <c r="E100" s="16">
        <f>+E97</f>
        <v>8.9999999999999998E-4</v>
      </c>
      <c r="F100" s="21">
        <f>B100*E100-0.02</f>
        <v>6.9978310000000006</v>
      </c>
      <c r="G100" s="16"/>
      <c r="H100" s="21"/>
      <c r="I100" s="23"/>
      <c r="J100" s="21"/>
      <c r="K100" s="69"/>
      <c r="L100" s="68"/>
      <c r="M100" s="22"/>
      <c r="N100" s="137">
        <f>-N97+85773.53</f>
        <v>7797.6300000000047</v>
      </c>
      <c r="O100" s="135">
        <f>+B100-N100</f>
        <v>-4.0000000004511094E-2</v>
      </c>
    </row>
    <row r="101" spans="1:15" ht="14.4" customHeight="1" x14ac:dyDescent="0.3">
      <c r="A101" s="5" t="s">
        <v>46</v>
      </c>
      <c r="B101" s="9"/>
      <c r="C101" s="16"/>
      <c r="D101" s="21"/>
      <c r="E101" s="16"/>
      <c r="F101" s="21"/>
      <c r="G101" s="16"/>
      <c r="H101" s="21"/>
      <c r="I101" s="23"/>
      <c r="J101" s="21"/>
      <c r="K101" s="67">
        <v>0</v>
      </c>
      <c r="L101" s="68">
        <f>ROUND((B97*11.5/100)*K101,0)</f>
        <v>0</v>
      </c>
      <c r="M101" s="22"/>
      <c r="N101" s="137"/>
    </row>
    <row r="102" spans="1:15" ht="14.4" customHeight="1" x14ac:dyDescent="0.3">
      <c r="A102" s="5" t="s">
        <v>8</v>
      </c>
      <c r="B102" s="9"/>
      <c r="C102" s="16"/>
      <c r="D102" s="95">
        <f>+IF(SUM(D97:D101)&lt;$D$107,SUM($D$107-SUM(D97:D101)),0)</f>
        <v>0</v>
      </c>
      <c r="E102" s="16"/>
      <c r="F102" s="21"/>
      <c r="G102" s="16"/>
      <c r="H102" s="21"/>
      <c r="I102" s="23"/>
      <c r="J102" s="95">
        <f>+IF(J97&lt;$J$107,SUM($J$107-J97),0)</f>
        <v>11.880964000000001</v>
      </c>
      <c r="K102" s="67"/>
      <c r="L102" s="68"/>
      <c r="M102" s="22"/>
      <c r="N102" s="137"/>
    </row>
    <row r="103" spans="1:15" s="162" customFormat="1" ht="14.4" customHeight="1" x14ac:dyDescent="0.3">
      <c r="A103" s="156" t="s">
        <v>90</v>
      </c>
      <c r="B103" s="157">
        <v>1.1000000000000001</v>
      </c>
      <c r="C103" s="158"/>
      <c r="D103" s="163">
        <v>0</v>
      </c>
      <c r="E103" s="158"/>
      <c r="F103" s="163">
        <v>-77</v>
      </c>
      <c r="G103" s="158"/>
      <c r="H103" s="163">
        <v>0.01</v>
      </c>
      <c r="I103" s="159"/>
      <c r="J103" s="163">
        <v>0</v>
      </c>
      <c r="K103" s="160"/>
      <c r="L103" s="164"/>
      <c r="M103" s="165"/>
      <c r="N103" s="161"/>
    </row>
    <row r="104" spans="1:15" ht="14.4" customHeight="1" x14ac:dyDescent="0.3">
      <c r="A104" s="5"/>
      <c r="B104" s="9"/>
      <c r="C104" s="16">
        <v>0.2</v>
      </c>
      <c r="D104" s="21">
        <f>SUM(D97:D103)*C104</f>
        <v>49.904575999999999</v>
      </c>
      <c r="E104" s="16"/>
      <c r="F104" s="21"/>
      <c r="G104" s="16"/>
      <c r="H104" s="21"/>
      <c r="I104" s="16"/>
      <c r="J104" s="21"/>
      <c r="K104" s="69"/>
      <c r="L104" s="68"/>
      <c r="M104" s="22"/>
      <c r="N104" s="139"/>
    </row>
    <row r="105" spans="1:15" ht="14.4" customHeight="1" x14ac:dyDescent="0.3">
      <c r="A105" s="62" t="s">
        <v>36</v>
      </c>
      <c r="B105" s="3">
        <f>SUM(B96:B104)-B99-B100</f>
        <v>77977</v>
      </c>
      <c r="C105" s="17"/>
      <c r="D105" s="19">
        <f>SUM(D96:D104)-0.01</f>
        <v>299.41745600000002</v>
      </c>
      <c r="E105" s="17"/>
      <c r="F105" s="19">
        <f>SUM(F96:F104)</f>
        <v>-3.8590000000056079E-3</v>
      </c>
      <c r="G105" s="17"/>
      <c r="H105" s="19">
        <f>SUM(H96:H104)</f>
        <v>77.985900000000001</v>
      </c>
      <c r="I105" s="17"/>
      <c r="J105" s="19">
        <f>SUM(J96:J104)</f>
        <v>15</v>
      </c>
      <c r="K105" s="70"/>
      <c r="L105" s="71">
        <f>SUM(L96:L104)</f>
        <v>0</v>
      </c>
      <c r="M105" s="22"/>
      <c r="N105" s="140"/>
    </row>
    <row r="106" spans="1:15" s="2" customFormat="1" ht="14.4" customHeight="1" x14ac:dyDescent="0.3">
      <c r="A106" s="4" t="s">
        <v>14</v>
      </c>
      <c r="B106" s="3">
        <f>+B15+B25+B35+B45+B55+B65+B75+B85+B95+B105</f>
        <v>7671218</v>
      </c>
      <c r="D106" s="94"/>
      <c r="F106" s="142">
        <f>+F15+F25+F35+F85+F95+F105+F65</f>
        <v>4084.9319364999997</v>
      </c>
      <c r="G106" s="4" t="s">
        <v>78</v>
      </c>
      <c r="H106" s="19">
        <f>+H15+H25+H35+H45+H55+H65+H75+H85+H95+H105-0.01</f>
        <v>10934.088514999998</v>
      </c>
      <c r="J106" s="96"/>
      <c r="L106" s="71">
        <f>+L15+L85</f>
        <v>0</v>
      </c>
      <c r="M106" s="22"/>
      <c r="N106" s="22"/>
    </row>
    <row r="107" spans="1:15" ht="14.4" customHeight="1" x14ac:dyDescent="0.3">
      <c r="A107" s="83"/>
      <c r="B107" s="84"/>
      <c r="C107" s="29" t="s">
        <v>18</v>
      </c>
      <c r="D107" s="22">
        <v>40</v>
      </c>
      <c r="G107" s="173"/>
      <c r="H107" s="174"/>
      <c r="I107" s="29" t="s">
        <v>18</v>
      </c>
      <c r="J107" s="22">
        <v>15</v>
      </c>
    </row>
    <row r="108" spans="1:15" ht="14.4" customHeight="1" x14ac:dyDescent="0.3">
      <c r="A108" s="30" t="s">
        <v>37</v>
      </c>
      <c r="B108" s="93">
        <f>1294660+7850+14885+1073033+970999+2622836+1312033+199641+97304+77977</f>
        <v>7671218</v>
      </c>
      <c r="C108" s="25" t="str">
        <f>IF(B106=B108,"OK", "ERREUR")</f>
        <v>OK</v>
      </c>
      <c r="D108"/>
      <c r="G108" s="175"/>
      <c r="H108" s="22"/>
      <c r="I108" s="29" t="s">
        <v>19</v>
      </c>
      <c r="J108" s="22">
        <v>2000</v>
      </c>
    </row>
    <row r="109" spans="1:15" ht="14.4" customHeight="1" x14ac:dyDescent="0.3">
      <c r="C109" s="10"/>
    </row>
    <row r="110" spans="1:15" ht="14.4" customHeight="1" x14ac:dyDescent="0.3">
      <c r="A110" t="s">
        <v>35</v>
      </c>
      <c r="L110"/>
      <c r="M110"/>
    </row>
    <row r="114" spans="4:4" ht="14.4" customHeight="1" x14ac:dyDescent="0.3">
      <c r="D114" s="1"/>
    </row>
    <row r="115" spans="4:4" ht="14.4" customHeight="1" x14ac:dyDescent="0.3">
      <c r="D115" s="1"/>
    </row>
    <row r="116" spans="4:4" ht="14.4" customHeight="1" x14ac:dyDescent="0.3">
      <c r="D116" s="1"/>
    </row>
  </sheetData>
  <mergeCells count="8">
    <mergeCell ref="C4:D4"/>
    <mergeCell ref="E4:F4"/>
    <mergeCell ref="I4:J4"/>
    <mergeCell ref="A1:L1"/>
    <mergeCell ref="G4:H4"/>
    <mergeCell ref="K4:L4"/>
    <mergeCell ref="E3:F3"/>
    <mergeCell ref="G3:H3"/>
  </mergeCells>
  <printOptions horizontalCentered="1"/>
  <pageMargins left="0" right="0" top="0.39370078740157483" bottom="0" header="0.19685039370078741" footer="0"/>
  <pageSetup paperSize="9" orientation="landscape" r:id="rId1"/>
  <rowBreaks count="3" manualBreakCount="3">
    <brk id="35" max="16383" man="1"/>
    <brk id="65" max="16383" man="1"/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BASES</vt:lpstr>
      <vt:lpstr>CCHSCT-APPAV</vt:lpstr>
      <vt:lpstr>AUTRES</vt:lpstr>
      <vt:lpstr>AUTRES!Impression_des_titres</vt:lpstr>
      <vt:lpstr>BASES!Impression_des_titres</vt:lpstr>
      <vt:lpstr>'CCHSCT-APPAV'!Impression_des_titres</vt:lpstr>
      <vt:lpstr>AUTRES!Zone_d_impression</vt:lpstr>
      <vt:lpstr>BASES!Zone_d_impression</vt:lpstr>
      <vt:lpstr>'CCHSCT-APPAV'!Zone_d_impression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 Wittersheim</cp:lastModifiedBy>
  <cp:lastPrinted>2024-02-21T13:24:13Z</cp:lastPrinted>
  <dcterms:created xsi:type="dcterms:W3CDTF">2013-01-10T15:08:51Z</dcterms:created>
  <dcterms:modified xsi:type="dcterms:W3CDTF">2024-02-21T13:45:20Z</dcterms:modified>
</cp:coreProperties>
</file>